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9705" tabRatio="154"/>
  </bookViews>
  <sheets>
    <sheet name="2025" sheetId="6" r:id="rId1"/>
  </sheets>
  <definedNames>
    <definedName name="_xlnm.Print_Area" localSheetId="0">'2025'!$A$1:$M$306</definedName>
  </definedNames>
  <calcPr calcId="125725" refMode="R1C1"/>
</workbook>
</file>

<file path=xl/calcChain.xml><?xml version="1.0" encoding="utf-8"?>
<calcChain xmlns="http://schemas.openxmlformats.org/spreadsheetml/2006/main">
  <c r="K240" i="6"/>
  <c r="K294"/>
  <c r="K265"/>
  <c r="J196"/>
  <c r="E15"/>
  <c r="J178"/>
  <c r="K302"/>
  <c r="K301"/>
  <c r="K300"/>
  <c r="K299"/>
  <c r="K298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J205"/>
  <c r="J204"/>
  <c r="J203"/>
  <c r="J202"/>
  <c r="J200"/>
  <c r="J195"/>
  <c r="J192"/>
  <c r="J191"/>
  <c r="J182"/>
  <c r="J181"/>
  <c r="J180"/>
  <c r="J177"/>
  <c r="J176"/>
  <c r="J175"/>
  <c r="K160"/>
  <c r="K135"/>
  <c r="K134"/>
  <c r="K133"/>
  <c r="K124"/>
  <c r="K132"/>
  <c r="K131"/>
  <c r="K128"/>
  <c r="K125"/>
  <c r="K123"/>
  <c r="K119"/>
  <c r="K113"/>
  <c r="K112"/>
  <c r="K111"/>
  <c r="K105"/>
  <c r="K103"/>
  <c r="K102"/>
  <c r="K101"/>
  <c r="J96"/>
  <c r="J95"/>
  <c r="J94"/>
  <c r="J93"/>
  <c r="J92"/>
  <c r="J91"/>
  <c r="J89"/>
  <c r="J87"/>
  <c r="J85"/>
  <c r="J83"/>
  <c r="J81"/>
  <c r="J79"/>
  <c r="J77"/>
  <c r="J75"/>
  <c r="J71"/>
  <c r="J67"/>
  <c r="J65"/>
  <c r="J63"/>
  <c r="J61"/>
  <c r="J51"/>
  <c r="J49"/>
  <c r="A273"/>
  <c r="A274" s="1"/>
  <c r="A275" s="1"/>
  <c r="A276" s="1"/>
  <c r="A277" s="1"/>
  <c r="A278" s="1"/>
  <c r="A279" s="1"/>
  <c r="A280" s="1"/>
  <c r="A281" s="1"/>
  <c r="A282" s="1"/>
  <c r="A285" s="1"/>
  <c r="A286" s="1"/>
  <c r="A287" s="1"/>
  <c r="A288" s="1"/>
  <c r="A289" s="1"/>
  <c r="A290" s="1"/>
  <c r="A291" s="1"/>
  <c r="A292" s="1"/>
  <c r="A293" s="1"/>
  <c r="A294" s="1"/>
  <c r="A295" s="1"/>
  <c r="N267"/>
  <c r="A262"/>
  <c r="A263" s="1"/>
  <c r="A264" s="1"/>
  <c r="A265" s="1"/>
  <c r="A266" s="1"/>
  <c r="A267" s="1"/>
  <c r="A268" s="1"/>
  <c r="A269" s="1"/>
  <c r="A270" s="1"/>
  <c r="A271" s="1"/>
  <c r="N257"/>
  <c r="A257"/>
  <c r="A258" s="1"/>
  <c r="N255"/>
  <c r="N252"/>
  <c r="N250"/>
  <c r="A226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N216"/>
  <c r="A211"/>
  <c r="A212" s="1"/>
  <c r="A213" s="1"/>
  <c r="A214" s="1"/>
  <c r="A215" s="1"/>
  <c r="A216" s="1"/>
  <c r="A217" s="1"/>
  <c r="A218" s="1"/>
  <c r="A219" s="1"/>
  <c r="N208"/>
  <c r="N205"/>
  <c r="N135"/>
</calcChain>
</file>

<file path=xl/sharedStrings.xml><?xml version="1.0" encoding="utf-8"?>
<sst xmlns="http://schemas.openxmlformats.org/spreadsheetml/2006/main" count="880" uniqueCount="388">
  <si>
    <t>НОРМАТИВНЫЕ ЗАТРАТЫ</t>
  </si>
  <si>
    <t>№ п/п</t>
  </si>
  <si>
    <t xml:space="preserve">  №   п/п</t>
  </si>
  <si>
    <t>Категории должностей</t>
  </si>
  <si>
    <t>Количество абонентских номеров</t>
  </si>
  <si>
    <t>Междугороднее и международное соединение</t>
  </si>
  <si>
    <t>Руководители</t>
  </si>
  <si>
    <t>Иные должности (из расчета на одного пользователя)</t>
  </si>
  <si>
    <t>Внутризоновое соединение</t>
  </si>
  <si>
    <t>Не более 1 единицы в расчете на одного пользователя</t>
  </si>
  <si>
    <t>Единица измерения</t>
  </si>
  <si>
    <t xml:space="preserve">Коли - чество </t>
  </si>
  <si>
    <t>шт.</t>
  </si>
  <si>
    <t>5 лет</t>
  </si>
  <si>
    <t>Количество</t>
  </si>
  <si>
    <t>5. Норматив затрат на услуги связи</t>
  </si>
  <si>
    <t>5.1. Норматив на абонентскую плату услуг местной, междугородней и международной связи (предоставление услуг в течение 12 месяцев)</t>
  </si>
  <si>
    <t>Вид связи</t>
  </si>
  <si>
    <t>Количество телефонных номеров</t>
  </si>
  <si>
    <t>Руководители, иные должности</t>
  </si>
  <si>
    <t>СТС пользование абонентской линией</t>
  </si>
  <si>
    <t>В соответствии с установленными тарифами</t>
  </si>
  <si>
    <t>Количество услуг</t>
  </si>
  <si>
    <t>6. Норматив затрат на командировочные расходы</t>
  </si>
  <si>
    <t>6.1. Норматив затрат на транспортные расходы</t>
  </si>
  <si>
    <t>Иные должности (из расчета на одного сотрудника)</t>
  </si>
  <si>
    <t>6.2. Норматив затрат на проживание в командировке</t>
  </si>
  <si>
    <t>Количество дней проживания в 1 командировке</t>
  </si>
  <si>
    <t>Срок полезного использования</t>
  </si>
  <si>
    <t>Ед. изм.</t>
  </si>
  <si>
    <t>Наименование</t>
  </si>
  <si>
    <t>Наименование должностей</t>
  </si>
  <si>
    <t>Иные должности</t>
  </si>
  <si>
    <t>Максимально допустимая цена за ед. (руб.)</t>
  </si>
  <si>
    <t>Ноутбук</t>
  </si>
  <si>
    <t>Из расчета 1 на 1 пользователя</t>
  </si>
  <si>
    <t>Источник бесперебойного питания</t>
  </si>
  <si>
    <t>Сетевой фильтр</t>
  </si>
  <si>
    <t>Копировальный аппарат (формат А3)</t>
  </si>
  <si>
    <t>Количество командировок (в год)</t>
  </si>
  <si>
    <t>По мере необходимости</t>
  </si>
  <si>
    <t>Максимально допустимая цена (руб.)</t>
  </si>
  <si>
    <t>Факс</t>
  </si>
  <si>
    <t>8. Норматив количества и цены носителей информации</t>
  </si>
  <si>
    <t>Норматив потребления</t>
  </si>
  <si>
    <t>Картридж для лазерного принтера</t>
  </si>
  <si>
    <t>Стол рабочий</t>
  </si>
  <si>
    <t>Стол руководителя</t>
  </si>
  <si>
    <t>Блок для записи в ассортименте</t>
  </si>
  <si>
    <t>Бумага А3</t>
  </si>
  <si>
    <t>пачка</t>
  </si>
  <si>
    <t>Бумага А4</t>
  </si>
  <si>
    <t>уп.</t>
  </si>
  <si>
    <t>Карандаш механический</t>
  </si>
  <si>
    <t>Ластик</t>
  </si>
  <si>
    <t>Нож канцелярский</t>
  </si>
  <si>
    <t>Ножницы канцелярские</t>
  </si>
  <si>
    <t>Планинг</t>
  </si>
  <si>
    <t>Текстовыделитель</t>
  </si>
  <si>
    <t>Штемпельная краска</t>
  </si>
  <si>
    <t>Ручки гелевые</t>
  </si>
  <si>
    <t>Ручки шариковые</t>
  </si>
  <si>
    <t>Опека,ЗАГС</t>
  </si>
  <si>
    <t>Наименование издания</t>
  </si>
  <si>
    <t>Газета "Российская газета"</t>
  </si>
  <si>
    <t>Журнал "Бюджетный учет и отчетность в вопросах и ответах"</t>
  </si>
  <si>
    <t>Вид дополнительного профессионального образования</t>
  </si>
  <si>
    <t>Количество в год</t>
  </si>
  <si>
    <t>Вид услуги</t>
  </si>
  <si>
    <t>Количество единиц</t>
  </si>
  <si>
    <t>Численность сотрудников, подлежащих диспансеризации</t>
  </si>
  <si>
    <t>Количество совершаемых действий</t>
  </si>
  <si>
    <t>Справочно</t>
  </si>
  <si>
    <t>10. Норматив затрат  на услуги по содержанию имущества</t>
  </si>
  <si>
    <t>Количество единиц в год</t>
  </si>
  <si>
    <t>Обследование технического состояния объектов с целью определения возможности дальнейшей эксплуатации</t>
  </si>
  <si>
    <t>Услуги по утилизации основных средств, непригодных к дальнейшей эксплуатации</t>
  </si>
  <si>
    <t>Услуги по обслуживанию локально- вычислительной сети</t>
  </si>
  <si>
    <t>14. Норматив перечня периодических изданий и справочной литературы</t>
  </si>
  <si>
    <t>15. Норматив количества и цены на приобретение образовательных услуг по профессиональной переподготовке и повышению квалификации</t>
  </si>
  <si>
    <t>Переаттестация  помещения</t>
  </si>
  <si>
    <t>Количество договоров подряда</t>
  </si>
  <si>
    <t>7. Норматив цены и количества рабочих станций, принтеров, многофункциональных устройств, копировальных аппаратов и другой оргтехники и бытовой техники</t>
  </si>
  <si>
    <t>Кресло руководителя</t>
  </si>
  <si>
    <t>7 лет</t>
  </si>
  <si>
    <t>Шкаф для одежды</t>
  </si>
  <si>
    <t>Шкаф для документов</t>
  </si>
  <si>
    <t>Стол компьютерный</t>
  </si>
  <si>
    <t>Из расчета 1 на 1 кабинет</t>
  </si>
  <si>
    <t>Из расчета 2 на 1 кабинет</t>
  </si>
  <si>
    <t>Прочие предметы мебели, исходя из фактической потребности</t>
  </si>
  <si>
    <t xml:space="preserve">Наименование </t>
  </si>
  <si>
    <t>Шкаф архивный</t>
  </si>
  <si>
    <t>Сейф</t>
  </si>
  <si>
    <t>25 лет</t>
  </si>
  <si>
    <t>Карандаш чернографитовый</t>
  </si>
  <si>
    <t>Клей ПВА</t>
  </si>
  <si>
    <t>Линейка в ассортименте</t>
  </si>
  <si>
    <t>Маркер в ассортименте</t>
  </si>
  <si>
    <t>115 человек</t>
  </si>
  <si>
    <t>Из расчета 1 на кабинет</t>
  </si>
  <si>
    <t>п.3.7</t>
  </si>
  <si>
    <t>Нить для прошивки документов</t>
  </si>
  <si>
    <t>к 1,1</t>
  </si>
  <si>
    <t>Прочие услуги, исходя из фактической потребности</t>
  </si>
  <si>
    <t>Количество ежегодно</t>
  </si>
  <si>
    <t>Не более 1 на 1 сотрудника</t>
  </si>
  <si>
    <t>Не более 2 на 1 сотрудника</t>
  </si>
  <si>
    <t>Книги учета в ассортименте</t>
  </si>
  <si>
    <t>Не более 3 на 1 сотрудника</t>
  </si>
  <si>
    <t>Сумма в год, руб</t>
  </si>
  <si>
    <t>Сумма в год, руб.</t>
  </si>
  <si>
    <t xml:space="preserve">Иные должности </t>
  </si>
  <si>
    <t>Определяется Положением о порядке и условиях направления в служебные командировки муниципальных служащих Кировского муниципального района Ленинградской области</t>
  </si>
  <si>
    <t>Максимально допустимая цена за билет (руб.)</t>
  </si>
  <si>
    <t xml:space="preserve">Внешний жесткий диск </t>
  </si>
  <si>
    <t>SIM-карта для установки в оборудование подвижной радиотелефонной связи (шт)</t>
  </si>
  <si>
    <t>Предельные расходы на услуги подвижной связи в месяц (руб.)</t>
  </si>
  <si>
    <t>5.2. Норматив на услуги сети интернет</t>
  </si>
  <si>
    <t>Прочие предметы оргтехники, бытовой техники исходя из фактической потребности</t>
  </si>
  <si>
    <t>Антистеплер</t>
  </si>
  <si>
    <t xml:space="preserve"> уп.</t>
  </si>
  <si>
    <t>Иные канц.товары, не поименованные выше, исходя из фактической потребности</t>
  </si>
  <si>
    <t>11. Нормативы затрат на заправку картриджей</t>
  </si>
  <si>
    <t>12. Норматив затрат на услуги по сопровождению справочно-правовых систем, программного обеспечения и приобретению простых (неисключительных) лицензий на использование программного обеспечения</t>
  </si>
  <si>
    <t>Лампа настольная</t>
  </si>
  <si>
    <t>Клейкая лента канцелярская</t>
  </si>
  <si>
    <t>Папка-регистратор</t>
  </si>
  <si>
    <t xml:space="preserve">Папка-регистратор </t>
  </si>
  <si>
    <t>Не более 200 на учреждение</t>
  </si>
  <si>
    <t>Не более 25 на учреждение</t>
  </si>
  <si>
    <t xml:space="preserve">Не более 20 на учреждение </t>
  </si>
  <si>
    <t>Не более 150 на учреждение</t>
  </si>
  <si>
    <t>Не более 4 на 1 сотрудника</t>
  </si>
  <si>
    <t>Норматив  цены средств подвижной связи за ед. (руб.)</t>
  </si>
  <si>
    <t>Норматив  цены  за ед. (руб.)</t>
  </si>
  <si>
    <t xml:space="preserve"> Норматив цены за ед. (руб.)</t>
  </si>
  <si>
    <t>Норматив цены за ед. (руб.)</t>
  </si>
  <si>
    <t xml:space="preserve"> Норматив цены  за ед. (руб.)</t>
  </si>
  <si>
    <t>Не более  5 на учреждение</t>
  </si>
  <si>
    <t>Не более 10 на учреждение</t>
  </si>
  <si>
    <t>Корректоры ленточные</t>
  </si>
  <si>
    <t>Не более 1 на 1 сотрудников</t>
  </si>
  <si>
    <t>Не более 500 на учреждение</t>
  </si>
  <si>
    <t>Не более 1000 на учреждение</t>
  </si>
  <si>
    <t>Не более 20 на учреждение</t>
  </si>
  <si>
    <t>Не более  3 на 1 сотрудника</t>
  </si>
  <si>
    <t>Из расчета 1 на учреждение</t>
  </si>
  <si>
    <t>Количество, комплект</t>
  </si>
  <si>
    <t>Максимально допустимая цена в месяц (руб.)</t>
  </si>
  <si>
    <t>Срок полезного использования, лет</t>
  </si>
  <si>
    <t xml:space="preserve">Калькулятор </t>
  </si>
  <si>
    <t>Максимально допустимая цена за чел (руб.)</t>
  </si>
  <si>
    <t>Исходя из  требуемого номинала в пределах лимитов выделенного финансирования</t>
  </si>
  <si>
    <t>Стул для посетителей</t>
  </si>
  <si>
    <t>Кресло, стул офисное</t>
  </si>
  <si>
    <t>Комплектующие и запасные части к орг.технике</t>
  </si>
  <si>
    <t>В соответствии с количеством муниципальных служащих по штатному расписанию</t>
  </si>
  <si>
    <t>Прочие услуги</t>
  </si>
  <si>
    <t>По потребности</t>
  </si>
  <si>
    <t>Прочие хоз. товары , исходя из фактической потребности</t>
  </si>
  <si>
    <t>13. Нормативы  количества и цены на оплату услуг почтовой  и специальной связи</t>
  </si>
  <si>
    <t xml:space="preserve">Из расчета 1 на  кабинет </t>
  </si>
  <si>
    <t>Рулонные шторы</t>
  </si>
  <si>
    <t>Жалюзи</t>
  </si>
  <si>
    <t>Картридж для цветного струйного принтера</t>
  </si>
  <si>
    <t>Стул</t>
  </si>
  <si>
    <t>Кресло</t>
  </si>
  <si>
    <t>Прочие предметы хоз. инвентаря, исходя из фактической потребности</t>
  </si>
  <si>
    <t>Клейкая лента упаковочная</t>
  </si>
  <si>
    <t>Конверты, Е65</t>
  </si>
  <si>
    <t xml:space="preserve">шт. </t>
  </si>
  <si>
    <t>Папка пластиковая с пружинным механизмом</t>
  </si>
  <si>
    <t xml:space="preserve">В соответствии с затратами на текущий финансовый год с учетом показателей  роста </t>
  </si>
  <si>
    <t xml:space="preserve"> Стоимость  услуг в год, (руб.)</t>
  </si>
  <si>
    <t>Цена абонентской платы, мес. (руб.)</t>
  </si>
  <si>
    <t>Прочие расходы по ремонту, обслуживанию и содержанию имущества</t>
  </si>
  <si>
    <t>Норматив цены   в год  (руб.)</t>
  </si>
  <si>
    <t xml:space="preserve"> Норматив цены  в год (руб.)</t>
  </si>
  <si>
    <t xml:space="preserve">Блокнот </t>
  </si>
  <si>
    <t xml:space="preserve">Дырокол </t>
  </si>
  <si>
    <t>Тетради в ассортименте</t>
  </si>
  <si>
    <t xml:space="preserve">Штампы самонаборные </t>
  </si>
  <si>
    <t>Монитор</t>
  </si>
  <si>
    <t>Скобки для степлера, мал.                                    ( уп.1000 шт.)</t>
  </si>
  <si>
    <t>Скобки для степлера, бол.                                    ( уп.1000 шт.)</t>
  </si>
  <si>
    <t xml:space="preserve">Курсы повышения квалификации или профессиональная переподготовка </t>
  </si>
  <si>
    <t>Еженедельник</t>
  </si>
  <si>
    <t>Календарь (настенный трехблочный)</t>
  </si>
  <si>
    <t>Календарь (настольный)</t>
  </si>
  <si>
    <t>Клей-карандаш</t>
  </si>
  <si>
    <t>Корректирующая жидкость (штрих)</t>
  </si>
  <si>
    <t>Тумба</t>
  </si>
  <si>
    <t>Не более  3 на учреждение</t>
  </si>
  <si>
    <t xml:space="preserve">      2. Норматив цены услуг подвижной связи</t>
  </si>
  <si>
    <t>__</t>
  </si>
  <si>
    <t>Сервер</t>
  </si>
  <si>
    <t>Телефон/ радиотелефон</t>
  </si>
  <si>
    <t>Не более 3 на учреждение</t>
  </si>
  <si>
    <t>Не более 500 в год на учреждение</t>
  </si>
  <si>
    <t>Журнал "Зарплата"</t>
  </si>
  <si>
    <t>Журнал "Казенные учреждения. Учет. Отчетность. Налогообложение"</t>
  </si>
  <si>
    <t xml:space="preserve">      1. Норматив количества абонентских номеров пользовательского (оконечного) оборудования, подключенного к сети подвижной связи</t>
  </si>
  <si>
    <t xml:space="preserve">Копировальный аппарат (формат А4) </t>
  </si>
  <si>
    <t>Прочие  носители информации, исходя из фактической потребности</t>
  </si>
  <si>
    <t>Газета "Ладога"</t>
  </si>
  <si>
    <t>Из расчета 4 на 1 кабинет</t>
  </si>
  <si>
    <t>Шкаф с для документов</t>
  </si>
  <si>
    <t>Увлажнитель для пальцев</t>
  </si>
  <si>
    <t>Не более 2 на кабинет</t>
  </si>
  <si>
    <t xml:space="preserve">Не более 5 на учреждение </t>
  </si>
  <si>
    <t>Бумага для факса</t>
  </si>
  <si>
    <t>Не более 10 на 1 сотрудника</t>
  </si>
  <si>
    <t>Не более 5 на 1 сотрудника</t>
  </si>
  <si>
    <t>Не более 5 на учреждение</t>
  </si>
  <si>
    <t>Не более 15 на учреждение</t>
  </si>
  <si>
    <t>Скрепочница</t>
  </si>
  <si>
    <t xml:space="preserve">на обеспечение функций Комитета по управлению муниципальным имуществом администрации Кировского муниципального района Ленинградской области </t>
  </si>
  <si>
    <t>5 в год для 1 единицы оргтехники</t>
  </si>
  <si>
    <t>Установка, тестирование, обновление, информационно-консультативное сопровождение программ для ЭВМ системы "1С:Предприятие" и баз данных</t>
  </si>
  <si>
    <t xml:space="preserve">Неисключительное право использования Системы Контур-Экстерн </t>
  </si>
  <si>
    <t>Техническое обслуживание и ремонт всех видов оргтехники</t>
  </si>
  <si>
    <t>Ремонт кондиционеров</t>
  </si>
  <si>
    <t xml:space="preserve">не планируется </t>
  </si>
  <si>
    <t>Максимально допустимая цена  в год (руб.)</t>
  </si>
  <si>
    <t>9. Норматив количества и цены расходных материалов для различных типов принтеров, многофункциональных устройств, копировальных аппаратов (оргтехники)</t>
  </si>
  <si>
    <t>Приобретение (продление срока действия) ключей ЭЦП</t>
  </si>
  <si>
    <t>Иные ПО, не поименованные выше или дополнительные версии установленного ПО</t>
  </si>
  <si>
    <t>Максимально допустимая стоимость услуги (руб.)</t>
  </si>
  <si>
    <t>4. Норматив количества SIM-карт</t>
  </si>
  <si>
    <t>Чайник электрический</t>
  </si>
  <si>
    <t>Не более 6 на учреждение</t>
  </si>
  <si>
    <t>USB удлинитель</t>
  </si>
  <si>
    <t>В соответствии с количеством окон</t>
  </si>
  <si>
    <t xml:space="preserve"> В соответствии с установленными тарифами</t>
  </si>
  <si>
    <t>В соответствии с затратами на текущий финансовый год с учетом показателей роста</t>
  </si>
  <si>
    <t>Диски CD-RW (с ценой конверта)</t>
  </si>
  <si>
    <t>Рутокен</t>
  </si>
  <si>
    <t xml:space="preserve">Почтовые отправления </t>
  </si>
  <si>
    <t>Государственные знаки почтовой оплаты (ГЗПО) (почтовые марки и иные знаки)</t>
  </si>
  <si>
    <t>не планируется</t>
  </si>
  <si>
    <t>Холодильник</t>
  </si>
  <si>
    <t>Не более 1 на кабинет</t>
  </si>
  <si>
    <t>Обогреватель</t>
  </si>
  <si>
    <t>Портреты (фотографии в раме)</t>
  </si>
  <si>
    <t>Доска маркерная</t>
  </si>
  <si>
    <t>Кулер</t>
  </si>
  <si>
    <t>Печь СВЧ</t>
  </si>
  <si>
    <t>Не более 2 на учреждение</t>
  </si>
  <si>
    <t>Кондиционер с установкой</t>
  </si>
  <si>
    <t>Клавиатура проводная</t>
  </si>
  <si>
    <t>Клавиатура беспроводная</t>
  </si>
  <si>
    <t>Системный блок в сборе</t>
  </si>
  <si>
    <t xml:space="preserve">Не более 1 раза в год для каждого сотрудника </t>
  </si>
  <si>
    <t>1. Кабинет руководителя</t>
  </si>
  <si>
    <t>2. Приемная руководителя</t>
  </si>
  <si>
    <t>Шкаф с для одежды</t>
  </si>
  <si>
    <t>Стеллаж с полками</t>
  </si>
  <si>
    <t>3. Иные должности</t>
  </si>
  <si>
    <t>Картридж для лазерного МФУ</t>
  </si>
  <si>
    <t>Игла для сшивания документов</t>
  </si>
  <si>
    <t>Шило</t>
  </si>
  <si>
    <t>Точилка для карандашей</t>
  </si>
  <si>
    <t>Скрепки в ассортименте, мал. (уп.100 шт.)</t>
  </si>
  <si>
    <t>Скрепки в ассортименте, бол. (уп.50 шт.)</t>
  </si>
  <si>
    <t>Стержень в ассортименте</t>
  </si>
  <si>
    <t>Не более  5 на 1 сотрудника</t>
  </si>
  <si>
    <t>Конверты, А4</t>
  </si>
  <si>
    <t>Конверты в ассортименте</t>
  </si>
  <si>
    <t>10 в год для 1 единицы оргтехники</t>
  </si>
  <si>
    <t>Стол для переговоров (брифинг)</t>
  </si>
  <si>
    <t>Информационно-технологическое сопровождение пользователей и обновление справочно-информационных баз данных</t>
  </si>
  <si>
    <t>Антивирусное программное обеспечение</t>
  </si>
  <si>
    <t>Интернет-соединение</t>
  </si>
  <si>
    <t xml:space="preserve">Заправка картриджей всех видов </t>
  </si>
  <si>
    <t xml:space="preserve">Прочие виды обучения: участие в семинарах, прочих обучающих мероприятиях и др. </t>
  </si>
  <si>
    <t>Спец.оценка условий труда рабочих мест</t>
  </si>
  <si>
    <t>С периодичностью, установленной действующим трудовым законодательством</t>
  </si>
  <si>
    <t>Папка адресная на подпись</t>
  </si>
  <si>
    <t>Коврик для мыши</t>
  </si>
  <si>
    <t>Лупа</t>
  </si>
  <si>
    <t>Конверты для CD дисков</t>
  </si>
  <si>
    <t>Лазерное МФУ (А4)</t>
  </si>
  <si>
    <t>Лазерное МФУ (А3)</t>
  </si>
  <si>
    <t>3. Норматив количества и цены средств подвижной связи</t>
  </si>
  <si>
    <t>_</t>
  </si>
  <si>
    <t>не закупается</t>
  </si>
  <si>
    <t xml:space="preserve">Бумага для заметок с клейким краем  (малый формат) </t>
  </si>
  <si>
    <t xml:space="preserve">Бумага для заметок с клейким краем (средний формат) </t>
  </si>
  <si>
    <t xml:space="preserve">Бумага для заметок с клейким краем (большой  формат) </t>
  </si>
  <si>
    <t>Лоток для бумаг пластиковый горизонтальный</t>
  </si>
  <si>
    <t>Папка-планшет</t>
  </si>
  <si>
    <t>Не планируется к приобретению</t>
  </si>
  <si>
    <t>16. Норматив затрат на проведение диспансеризации сотрудников</t>
  </si>
  <si>
    <t>17. Норматив затрат на услуги нотариуса</t>
  </si>
  <si>
    <t>18. Норматив затрат на услуги по аттестации рабочих мест, спец.оценке условий труда, проверке технических средств на утечку информации, проведение контроля защищенности объекта</t>
  </si>
  <si>
    <t>19. Норматив затрат на услуги внештатных сотрудников</t>
  </si>
  <si>
    <t>20. Норматив количества и цены мебели</t>
  </si>
  <si>
    <t>21. Норматив количества и цены прочего производственного и хозяйственного инвентаря</t>
  </si>
  <si>
    <t xml:space="preserve">22. Норматив количества и цены канцелярских принадлежностей </t>
  </si>
  <si>
    <t>23. Норматив количества и цены хозяйственных товаров и иных принадлежностей</t>
  </si>
  <si>
    <t>Flash-память USB и прочие накопители емкостью не менее 8 Гб</t>
  </si>
  <si>
    <t>Штампы на оснастке</t>
  </si>
  <si>
    <t>Подставка для канцелярских принадлежностей</t>
  </si>
  <si>
    <t>Карандаши цветные</t>
  </si>
  <si>
    <t>Кнопки канцелярские</t>
  </si>
  <si>
    <t>Не более 5000 на учреждение</t>
  </si>
  <si>
    <t>Не более 1 000 на учреждение</t>
  </si>
  <si>
    <t>Зажим для бумаг средний (12 шт. в упаковке)</t>
  </si>
  <si>
    <t>Зажим для бумаг большой (12 шт. в упаковке)</t>
  </si>
  <si>
    <t xml:space="preserve">Зажим для бумаг маленкий (12 шт. в упаковке) </t>
  </si>
  <si>
    <t>Грифель для  механического карандаша (не менее 12 шт. в упаковке)</t>
  </si>
  <si>
    <t>Ручки гелевые, автоматические</t>
  </si>
  <si>
    <t>Ручки шариковые, автоматические</t>
  </si>
  <si>
    <t>Из расчета 2 на 1 пользователя</t>
  </si>
  <si>
    <t>Не более 3000 на учреждение</t>
  </si>
  <si>
    <t>Компьютер персональный настольный (моноблок/сист.блок+ монитор)</t>
  </si>
  <si>
    <t>Принтер персанальный            (тип 1)</t>
  </si>
  <si>
    <t>Принтер персанальный            (тип 2)</t>
  </si>
  <si>
    <t>Мышь оптическая проводная/безпроводная</t>
  </si>
  <si>
    <t>Вентилятор напольный</t>
  </si>
  <si>
    <t>Колонки акустические (для компьютера)</t>
  </si>
  <si>
    <t>комп.</t>
  </si>
  <si>
    <t>Из расчета 1 комплект на исполюзуемый компьютер</t>
  </si>
  <si>
    <t>Квадрокоптер</t>
  </si>
  <si>
    <t>Не более 1 на учреждение</t>
  </si>
  <si>
    <t>Метрологическая аттестация лазерного дальномера</t>
  </si>
  <si>
    <t>Метрологическая аттестация GNSS приемника</t>
  </si>
  <si>
    <t>Подписка на оказание услуг по предоставлению измерительной и корректирующей информации сети дифференциальных (базовых, опорных, референцных) геодезических станций "Геоспайдер"</t>
  </si>
  <si>
    <t>Комплекс услуг «ТехноКад–Муниципалитет» по тарифному пакету «Муниципалитет – Оптима»</t>
  </si>
  <si>
    <t>Накопитель вертикальный 1 секция</t>
  </si>
  <si>
    <t>Накопитель вертикальный 4 секции</t>
  </si>
  <si>
    <t xml:space="preserve">Папка пластиковая на резинках </t>
  </si>
  <si>
    <t>Папка архивная (короб) на резинках</t>
  </si>
  <si>
    <t>Папка архивная (короб) на завязках</t>
  </si>
  <si>
    <t>Папка-уголок А4</t>
  </si>
  <si>
    <t xml:space="preserve">Папка файловая   </t>
  </si>
  <si>
    <t>Файл-вкладыш с перфорацией,100 шт. в уп.</t>
  </si>
  <si>
    <t>Папка-скоросшиватель пластиковая</t>
  </si>
  <si>
    <t xml:space="preserve"> Папка-конверт на кнопке  </t>
  </si>
  <si>
    <t xml:space="preserve"> Папка-скоросшиватель картонный "Дело"</t>
  </si>
  <si>
    <t xml:space="preserve">Папка пластиковая с зажимом  </t>
  </si>
  <si>
    <t>Папка для бумаг картонная с завязками</t>
  </si>
  <si>
    <t>Точилка для карандашей электрическая</t>
  </si>
  <si>
    <t>Ярлычки-закладки пластиковые, уп от 100 шт.</t>
  </si>
  <si>
    <t>Батарейка (АА)</t>
  </si>
  <si>
    <t>Не более  20 на учреждение</t>
  </si>
  <si>
    <t>Батарейка ( ААА)</t>
  </si>
  <si>
    <t>Салфетки влажная для мониторов</t>
  </si>
  <si>
    <t>Сетевой удленитель</t>
  </si>
  <si>
    <t>Корзина для бумаг</t>
  </si>
  <si>
    <t>24. Норматив затрат на коммунальные услуги</t>
  </si>
  <si>
    <t>Электроснабжение</t>
  </si>
  <si>
    <t>Количество едениц в год</t>
  </si>
  <si>
    <t>Теплоснабжение</t>
  </si>
  <si>
    <t>Холодное водоснабжение и водоотведение</t>
  </si>
  <si>
    <t>25.  Норматив затрат на содержание и техническое обслуживание помещений» следующего содержания:</t>
  </si>
  <si>
    <t>Проведение текущего ремонта помещения</t>
  </si>
  <si>
    <t>Затраты на содержание прилегающей территории</t>
  </si>
  <si>
    <t>Затраты на оплату услуг по обслуживанию и уборке помещения</t>
  </si>
  <si>
    <t>Затраты на вывоз твердых бытовых отходов</t>
  </si>
  <si>
    <t>Услуги по предоставлению сопровожения в объеме ответственного за электрохозяйство</t>
  </si>
  <si>
    <t>Техническое обслуживание и регламентно-профилактический ремонт электрооборудования (электроподстанций, трансформаторных подстанций, электрощитовых) административного здания (помещения)</t>
  </si>
  <si>
    <t>Затраты на закупку услуг управляющей компании</t>
  </si>
  <si>
    <t>Услуги по обслуживанию сантехнического оборудования</t>
  </si>
  <si>
    <t>Прочие затраты на содержание и техническое обслуживание помещений</t>
  </si>
  <si>
    <t>104 500,00 в год</t>
  </si>
  <si>
    <t>20 900,00 в год</t>
  </si>
  <si>
    <t>не более 313 500,00 руб.  в год на учреждение</t>
  </si>
  <si>
    <t xml:space="preserve">104 500,00 в год </t>
  </si>
  <si>
    <t>не более 209 000,00</t>
  </si>
  <si>
    <t>УТВЕРЖДЕНО</t>
  </si>
  <si>
    <t>(приложение)</t>
  </si>
  <si>
    <t xml:space="preserve">распоряжением Комитета по управлению муниципальным имуществом администрации Кировского муниципального района Ленинградской области </t>
  </si>
  <si>
    <t xml:space="preserve"> от _________________ №_____</t>
  </si>
  <si>
    <t>Ежедневник датированный А5</t>
  </si>
  <si>
    <t>Степлер №10</t>
  </si>
  <si>
    <t>Степлер №24</t>
  </si>
  <si>
    <t>Не более  1 на 1 сотрудника</t>
  </si>
  <si>
    <t>1 лицензия на 1 рабочее место</t>
  </si>
  <si>
    <t>137 679,00 в год</t>
  </si>
  <si>
    <t>22 028,60 за единицу</t>
  </si>
  <si>
    <t xml:space="preserve">110 143,00 в год </t>
  </si>
  <si>
    <t>не более 522 500,00</t>
  </si>
  <si>
    <t>1 шт на 1 рабочее место</t>
  </si>
  <si>
    <t>Лицензия криптопро</t>
  </si>
  <si>
    <t>Модуль защиты от НСД и контроля устройств СЗИ (для сотрудников, которые работают с персональными данными)</t>
  </si>
  <si>
    <t>Приобретение лицензии бессрочной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</si>
</sst>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1" fillId="2" borderId="0" xfId="0" applyFont="1" applyFill="1" applyBorder="1"/>
    <xf numFmtId="0" fontId="4" fillId="2" borderId="0" xfId="0" applyFont="1" applyFill="1"/>
    <xf numFmtId="0" fontId="7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7" fillId="2" borderId="0" xfId="0" applyFont="1" applyFill="1"/>
    <xf numFmtId="0" fontId="1" fillId="2" borderId="0" xfId="0" applyFont="1" applyFill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4" fillId="2" borderId="10" xfId="0" applyFont="1" applyFill="1" applyBorder="1" applyAlignment="1">
      <alignment horizontal="center" vertical="center"/>
    </xf>
    <xf numFmtId="0" fontId="8" fillId="2" borderId="0" xfId="0" applyFont="1" applyFill="1"/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11" fillId="0" borderId="0" xfId="0" applyFont="1" applyFill="1" applyAlignment="1">
      <alignment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10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top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" fontId="4" fillId="0" borderId="9" xfId="0" applyNumberFormat="1" applyFont="1" applyFill="1" applyBorder="1" applyAlignment="1">
      <alignment horizontal="center" vertical="top" wrapText="1"/>
    </xf>
    <xf numFmtId="1" fontId="4" fillId="0" borderId="8" xfId="0" applyNumberFormat="1" applyFont="1" applyFill="1" applyBorder="1" applyAlignment="1">
      <alignment horizontal="center" vertical="top" wrapText="1"/>
    </xf>
    <xf numFmtId="1" fontId="4" fillId="0" borderId="7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2" fontId="4" fillId="0" borderId="9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2" fontId="4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3" fillId="2" borderId="10" xfId="0" applyFont="1" applyFill="1" applyBorder="1"/>
    <xf numFmtId="0" fontId="4" fillId="2" borderId="6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2" fontId="4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P318"/>
  <sheetViews>
    <sheetView tabSelected="1" view="pageLayout" topLeftCell="A4" zoomScale="110" zoomScaleNormal="130" zoomScaleSheetLayoutView="100" zoomScalePageLayoutView="110" workbookViewId="0">
      <selection activeCell="E16" sqref="E16:M16"/>
    </sheetView>
  </sheetViews>
  <sheetFormatPr defaultColWidth="8.7109375" defaultRowHeight="15"/>
  <cols>
    <col min="1" max="1" width="4.7109375" style="1" customWidth="1"/>
    <col min="2" max="2" width="6.5703125" style="1" customWidth="1"/>
    <col min="3" max="3" width="8.7109375" style="1" customWidth="1"/>
    <col min="4" max="4" width="13.7109375" style="1" customWidth="1"/>
    <col min="5" max="5" width="7" style="1" customWidth="1"/>
    <col min="6" max="6" width="7.28515625" style="1" customWidth="1"/>
    <col min="7" max="7" width="3.7109375" style="1" customWidth="1"/>
    <col min="8" max="8" width="4.28515625" style="1" customWidth="1"/>
    <col min="9" max="9" width="7.7109375" style="1" customWidth="1"/>
    <col min="10" max="10" width="9.28515625" style="1" customWidth="1"/>
    <col min="11" max="11" width="11.28515625" style="1" customWidth="1"/>
    <col min="12" max="12" width="6.28515625" style="1" customWidth="1"/>
    <col min="13" max="13" width="7.5703125" style="1" customWidth="1"/>
    <col min="14" max="14" width="12.28515625" style="2" hidden="1" customWidth="1"/>
    <col min="15" max="16384" width="8.7109375" style="1"/>
  </cols>
  <sheetData>
    <row r="1" spans="1:14" ht="15.75" customHeight="1">
      <c r="I1" s="5"/>
      <c r="J1" s="5"/>
      <c r="K1" s="5"/>
      <c r="L1" s="5"/>
      <c r="M1" s="5"/>
      <c r="N1" s="2" t="s">
        <v>72</v>
      </c>
    </row>
    <row r="2" spans="1:14" ht="15.75" customHeight="1">
      <c r="G2" s="43" t="s">
        <v>371</v>
      </c>
      <c r="H2" s="43"/>
      <c r="I2" s="43"/>
      <c r="J2" s="43"/>
      <c r="K2" s="43"/>
      <c r="L2" s="43"/>
      <c r="M2" s="43"/>
    </row>
    <row r="3" spans="1:14" ht="66" customHeight="1">
      <c r="G3" s="44" t="s">
        <v>373</v>
      </c>
      <c r="H3" s="44"/>
      <c r="I3" s="44"/>
      <c r="J3" s="44"/>
      <c r="K3" s="44"/>
      <c r="L3" s="44"/>
      <c r="M3" s="44"/>
    </row>
    <row r="4" spans="1:14" ht="15.75" customHeight="1">
      <c r="G4" s="45" t="s">
        <v>374</v>
      </c>
      <c r="H4" s="45"/>
      <c r="I4" s="45"/>
      <c r="J4" s="45"/>
      <c r="K4" s="45"/>
      <c r="L4" s="45"/>
      <c r="M4" s="45"/>
    </row>
    <row r="5" spans="1:14" ht="15" customHeight="1">
      <c r="G5" s="46" t="s">
        <v>372</v>
      </c>
      <c r="H5" s="46"/>
      <c r="I5" s="46"/>
      <c r="J5" s="46"/>
      <c r="K5" s="46"/>
      <c r="L5" s="46"/>
      <c r="M5" s="46"/>
    </row>
    <row r="7" spans="1:14" ht="27" customHeight="1">
      <c r="A7" s="47" t="s">
        <v>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4" ht="46.5" customHeight="1">
      <c r="A8" s="48" t="s">
        <v>217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4" ht="42" customHeight="1">
      <c r="A9" s="31" t="s">
        <v>202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8"/>
    </row>
    <row r="10" spans="1:14" ht="33" customHeight="1">
      <c r="A10" s="15" t="s">
        <v>2</v>
      </c>
      <c r="B10" s="32" t="s">
        <v>3</v>
      </c>
      <c r="C10" s="33"/>
      <c r="D10" s="34"/>
      <c r="E10" s="35" t="s">
        <v>4</v>
      </c>
      <c r="F10" s="36"/>
      <c r="G10" s="37"/>
      <c r="H10" s="32" t="s">
        <v>8</v>
      </c>
      <c r="I10" s="33"/>
      <c r="J10" s="34"/>
      <c r="K10" s="32" t="s">
        <v>5</v>
      </c>
      <c r="L10" s="33"/>
      <c r="M10" s="34"/>
      <c r="N10" s="8"/>
    </row>
    <row r="11" spans="1:14" ht="38.25" customHeight="1">
      <c r="A11" s="22">
        <v>1</v>
      </c>
      <c r="B11" s="38" t="s">
        <v>6</v>
      </c>
      <c r="C11" s="38"/>
      <c r="D11" s="38"/>
      <c r="E11" s="39">
        <v>1</v>
      </c>
      <c r="F11" s="40"/>
      <c r="G11" s="41"/>
      <c r="H11" s="42">
        <v>1</v>
      </c>
      <c r="I11" s="42"/>
      <c r="J11" s="42"/>
      <c r="K11" s="42">
        <v>1</v>
      </c>
      <c r="L11" s="42"/>
      <c r="M11" s="42"/>
      <c r="N11" s="8"/>
    </row>
    <row r="12" spans="1:14" ht="51" customHeight="1">
      <c r="A12" s="23">
        <v>2</v>
      </c>
      <c r="B12" s="59" t="s">
        <v>112</v>
      </c>
      <c r="C12" s="60"/>
      <c r="D12" s="61"/>
      <c r="E12" s="62" t="s">
        <v>9</v>
      </c>
      <c r="F12" s="63"/>
      <c r="G12" s="64"/>
      <c r="H12" s="65" t="s">
        <v>9</v>
      </c>
      <c r="I12" s="66"/>
      <c r="J12" s="67"/>
      <c r="K12" s="65" t="s">
        <v>9</v>
      </c>
      <c r="L12" s="66"/>
      <c r="M12" s="67"/>
      <c r="N12" s="8"/>
    </row>
    <row r="13" spans="1:14" ht="27" customHeight="1">
      <c r="A13" s="55" t="s">
        <v>194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8"/>
    </row>
    <row r="14" spans="1:14" ht="36" customHeight="1">
      <c r="A14" s="16" t="s">
        <v>2</v>
      </c>
      <c r="B14" s="56" t="s">
        <v>3</v>
      </c>
      <c r="C14" s="57"/>
      <c r="D14" s="58"/>
      <c r="E14" s="68" t="s">
        <v>117</v>
      </c>
      <c r="F14" s="69"/>
      <c r="G14" s="69"/>
      <c r="H14" s="69"/>
      <c r="I14" s="69"/>
      <c r="J14" s="69"/>
      <c r="K14" s="69"/>
      <c r="L14" s="69"/>
      <c r="M14" s="70"/>
      <c r="N14" s="8"/>
    </row>
    <row r="15" spans="1:14" ht="30.75" customHeight="1">
      <c r="A15" s="22">
        <v>1</v>
      </c>
      <c r="B15" s="49" t="s">
        <v>6</v>
      </c>
      <c r="C15" s="50"/>
      <c r="D15" s="51"/>
      <c r="E15" s="52">
        <f>1567.5*105.4/100</f>
        <v>1652.145</v>
      </c>
      <c r="F15" s="53"/>
      <c r="G15" s="53"/>
      <c r="H15" s="53"/>
      <c r="I15" s="53"/>
      <c r="J15" s="53"/>
      <c r="K15" s="53"/>
      <c r="L15" s="53"/>
      <c r="M15" s="54"/>
      <c r="N15" s="8"/>
    </row>
    <row r="16" spans="1:14" ht="32.25" customHeight="1">
      <c r="A16" s="22">
        <v>1</v>
      </c>
      <c r="B16" s="49" t="s">
        <v>7</v>
      </c>
      <c r="C16" s="50"/>
      <c r="D16" s="51"/>
      <c r="E16" s="52">
        <v>500</v>
      </c>
      <c r="F16" s="53"/>
      <c r="G16" s="53"/>
      <c r="H16" s="53"/>
      <c r="I16" s="53"/>
      <c r="J16" s="53"/>
      <c r="K16" s="53"/>
      <c r="L16" s="53"/>
      <c r="M16" s="54"/>
      <c r="N16" s="8">
        <v>6</v>
      </c>
    </row>
    <row r="17" spans="1:15" s="2" customFormat="1" ht="27" customHeight="1">
      <c r="A17" s="55" t="s">
        <v>284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8"/>
    </row>
    <row r="18" spans="1:15" s="2" customFormat="1" ht="36" customHeight="1">
      <c r="A18" s="17" t="s">
        <v>2</v>
      </c>
      <c r="B18" s="56" t="s">
        <v>3</v>
      </c>
      <c r="C18" s="57"/>
      <c r="D18" s="58"/>
      <c r="E18" s="56" t="s">
        <v>10</v>
      </c>
      <c r="F18" s="58"/>
      <c r="G18" s="56" t="s">
        <v>11</v>
      </c>
      <c r="H18" s="58"/>
      <c r="I18" s="56" t="s">
        <v>134</v>
      </c>
      <c r="J18" s="57"/>
      <c r="K18" s="58"/>
      <c r="L18" s="56" t="s">
        <v>28</v>
      </c>
      <c r="M18" s="58"/>
      <c r="N18" s="8"/>
    </row>
    <row r="19" spans="1:15" s="2" customFormat="1" ht="33.75" customHeight="1">
      <c r="A19" s="22">
        <v>1</v>
      </c>
      <c r="B19" s="76" t="s">
        <v>6</v>
      </c>
      <c r="C19" s="76"/>
      <c r="D19" s="76"/>
      <c r="E19" s="42" t="s">
        <v>12</v>
      </c>
      <c r="F19" s="42"/>
      <c r="G19" s="42">
        <v>1</v>
      </c>
      <c r="H19" s="42"/>
      <c r="I19" s="77">
        <v>15000</v>
      </c>
      <c r="J19" s="77"/>
      <c r="K19" s="77"/>
      <c r="L19" s="42" t="s">
        <v>13</v>
      </c>
      <c r="M19" s="42"/>
      <c r="N19" s="8"/>
    </row>
    <row r="20" spans="1:15" s="2" customFormat="1" ht="35.25" customHeight="1">
      <c r="A20" s="23">
        <v>2</v>
      </c>
      <c r="B20" s="59" t="s">
        <v>7</v>
      </c>
      <c r="C20" s="60"/>
      <c r="D20" s="61"/>
      <c r="E20" s="78" t="s">
        <v>12</v>
      </c>
      <c r="F20" s="79"/>
      <c r="G20" s="78" t="s">
        <v>285</v>
      </c>
      <c r="H20" s="79"/>
      <c r="I20" s="80" t="s">
        <v>286</v>
      </c>
      <c r="J20" s="81"/>
      <c r="K20" s="82"/>
      <c r="L20" s="78" t="s">
        <v>285</v>
      </c>
      <c r="M20" s="79"/>
      <c r="N20" s="8"/>
    </row>
    <row r="21" spans="1:15" s="2" customFormat="1" ht="30" customHeight="1">
      <c r="A21" s="55" t="s">
        <v>229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8"/>
    </row>
    <row r="22" spans="1:15" ht="48" customHeight="1">
      <c r="A22" s="15" t="s">
        <v>2</v>
      </c>
      <c r="B22" s="56" t="s">
        <v>3</v>
      </c>
      <c r="C22" s="57"/>
      <c r="D22" s="58"/>
      <c r="E22" s="68" t="s">
        <v>10</v>
      </c>
      <c r="F22" s="69"/>
      <c r="G22" s="69"/>
      <c r="H22" s="69"/>
      <c r="I22" s="70"/>
      <c r="J22" s="56" t="s">
        <v>116</v>
      </c>
      <c r="K22" s="57"/>
      <c r="L22" s="57"/>
      <c r="M22" s="58"/>
      <c r="N22" s="8"/>
    </row>
    <row r="23" spans="1:15" ht="21.75" customHeight="1">
      <c r="A23" s="27">
        <v>1</v>
      </c>
      <c r="B23" s="71" t="s">
        <v>6</v>
      </c>
      <c r="C23" s="71"/>
      <c r="D23" s="71"/>
      <c r="E23" s="72" t="s">
        <v>12</v>
      </c>
      <c r="F23" s="73"/>
      <c r="G23" s="73"/>
      <c r="H23" s="73"/>
      <c r="I23" s="74"/>
      <c r="J23" s="75">
        <v>1</v>
      </c>
      <c r="K23" s="75"/>
      <c r="L23" s="75"/>
      <c r="M23" s="75"/>
      <c r="N23" s="8">
        <v>6</v>
      </c>
    </row>
    <row r="24" spans="1:15" ht="22.5" customHeight="1">
      <c r="A24" s="18">
        <v>2</v>
      </c>
      <c r="B24" s="88" t="s">
        <v>32</v>
      </c>
      <c r="C24" s="89"/>
      <c r="D24" s="90"/>
      <c r="E24" s="72" t="s">
        <v>12</v>
      </c>
      <c r="F24" s="73"/>
      <c r="G24" s="73"/>
      <c r="H24" s="73"/>
      <c r="I24" s="74"/>
      <c r="J24" s="91">
        <v>1</v>
      </c>
      <c r="K24" s="92"/>
      <c r="L24" s="92"/>
      <c r="M24" s="93"/>
      <c r="N24" s="8">
        <v>7</v>
      </c>
    </row>
    <row r="25" spans="1:15" ht="24.75" customHeight="1">
      <c r="A25" s="86" t="s">
        <v>15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"/>
    </row>
    <row r="26" spans="1:15" ht="40.9" customHeight="1">
      <c r="A26" s="94" t="s">
        <v>16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8"/>
      <c r="O26" s="10"/>
    </row>
    <row r="27" spans="1:15" ht="30" customHeight="1">
      <c r="A27" s="87" t="s">
        <v>17</v>
      </c>
      <c r="B27" s="87"/>
      <c r="C27" s="87"/>
      <c r="D27" s="87"/>
      <c r="E27" s="68" t="s">
        <v>18</v>
      </c>
      <c r="F27" s="69"/>
      <c r="G27" s="69"/>
      <c r="H27" s="70"/>
      <c r="I27" s="87" t="s">
        <v>174</v>
      </c>
      <c r="J27" s="87"/>
      <c r="K27" s="87"/>
      <c r="L27" s="87"/>
      <c r="M27" s="87"/>
      <c r="N27" s="8"/>
    </row>
    <row r="28" spans="1:15" ht="24.75" customHeight="1">
      <c r="A28" s="39" t="s">
        <v>19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1"/>
      <c r="N28" s="8"/>
    </row>
    <row r="29" spans="1:15" ht="51.75" customHeight="1">
      <c r="A29" s="39" t="s">
        <v>20</v>
      </c>
      <c r="B29" s="40"/>
      <c r="C29" s="40"/>
      <c r="D29" s="41"/>
      <c r="E29" s="39">
        <v>14</v>
      </c>
      <c r="F29" s="40"/>
      <c r="G29" s="40"/>
      <c r="H29" s="41"/>
      <c r="I29" s="42" t="s">
        <v>235</v>
      </c>
      <c r="J29" s="42"/>
      <c r="K29" s="42"/>
      <c r="L29" s="42"/>
      <c r="M29" s="42"/>
      <c r="N29" s="8"/>
    </row>
    <row r="30" spans="1:15" ht="23.25" customHeight="1">
      <c r="A30" s="55" t="s">
        <v>118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8"/>
    </row>
    <row r="31" spans="1:15" ht="30" customHeight="1">
      <c r="A31" s="87" t="s">
        <v>17</v>
      </c>
      <c r="B31" s="87"/>
      <c r="C31" s="87"/>
      <c r="D31" s="87"/>
      <c r="E31" s="68" t="s">
        <v>22</v>
      </c>
      <c r="F31" s="69"/>
      <c r="G31" s="69"/>
      <c r="H31" s="70"/>
      <c r="I31" s="87" t="s">
        <v>175</v>
      </c>
      <c r="J31" s="87"/>
      <c r="K31" s="87"/>
      <c r="L31" s="87"/>
      <c r="M31" s="87"/>
      <c r="N31" s="8"/>
    </row>
    <row r="32" spans="1:15" ht="20.25" customHeight="1">
      <c r="A32" s="83" t="s">
        <v>19</v>
      </c>
      <c r="B32" s="84"/>
      <c r="C32" s="84"/>
      <c r="D32" s="84"/>
      <c r="E32" s="84"/>
      <c r="F32" s="84"/>
      <c r="G32" s="84"/>
      <c r="H32" s="84"/>
      <c r="I32" s="84"/>
      <c r="J32" s="84"/>
      <c r="K32" s="84"/>
      <c r="L32" s="84"/>
      <c r="M32" s="85"/>
      <c r="N32" s="8"/>
    </row>
    <row r="33" spans="1:14" ht="30.75" customHeight="1">
      <c r="A33" s="39" t="s">
        <v>273</v>
      </c>
      <c r="B33" s="40"/>
      <c r="C33" s="40"/>
      <c r="D33" s="41"/>
      <c r="E33" s="39">
        <v>1</v>
      </c>
      <c r="F33" s="40"/>
      <c r="G33" s="40"/>
      <c r="H33" s="41"/>
      <c r="I33" s="42" t="s">
        <v>21</v>
      </c>
      <c r="J33" s="42"/>
      <c r="K33" s="42"/>
      <c r="L33" s="42"/>
      <c r="M33" s="42"/>
      <c r="N33" s="8" t="s">
        <v>62</v>
      </c>
    </row>
    <row r="34" spans="1:14" ht="22.5" customHeight="1">
      <c r="A34" s="86" t="s">
        <v>23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"/>
    </row>
    <row r="35" spans="1:14" ht="25.5" customHeight="1">
      <c r="A35" s="31" t="s">
        <v>24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8"/>
    </row>
    <row r="36" spans="1:14" ht="29.25" customHeight="1">
      <c r="A36" s="11" t="s">
        <v>2</v>
      </c>
      <c r="B36" s="56" t="s">
        <v>3</v>
      </c>
      <c r="C36" s="57"/>
      <c r="D36" s="58"/>
      <c r="E36" s="68" t="s">
        <v>39</v>
      </c>
      <c r="F36" s="69"/>
      <c r="G36" s="70"/>
      <c r="H36" s="68" t="s">
        <v>114</v>
      </c>
      <c r="I36" s="69"/>
      <c r="J36" s="69"/>
      <c r="K36" s="69"/>
      <c r="L36" s="69"/>
      <c r="M36" s="70"/>
      <c r="N36" s="8"/>
    </row>
    <row r="37" spans="1:14" ht="81.75" customHeight="1">
      <c r="A37" s="22">
        <v>1</v>
      </c>
      <c r="B37" s="59" t="s">
        <v>6</v>
      </c>
      <c r="C37" s="60"/>
      <c r="D37" s="61"/>
      <c r="E37" s="78" t="s">
        <v>40</v>
      </c>
      <c r="F37" s="95"/>
      <c r="G37" s="79"/>
      <c r="H37" s="42" t="s">
        <v>113</v>
      </c>
      <c r="I37" s="42"/>
      <c r="J37" s="42"/>
      <c r="K37" s="42"/>
      <c r="L37" s="42"/>
      <c r="M37" s="42"/>
      <c r="N37" s="8" t="s">
        <v>101</v>
      </c>
    </row>
    <row r="38" spans="1:14" ht="83.25" customHeight="1">
      <c r="A38" s="23">
        <v>2</v>
      </c>
      <c r="B38" s="59" t="s">
        <v>25</v>
      </c>
      <c r="C38" s="60"/>
      <c r="D38" s="61"/>
      <c r="E38" s="96"/>
      <c r="F38" s="97"/>
      <c r="G38" s="98"/>
      <c r="H38" s="78" t="s">
        <v>113</v>
      </c>
      <c r="I38" s="95"/>
      <c r="J38" s="95"/>
      <c r="K38" s="95"/>
      <c r="L38" s="95"/>
      <c r="M38" s="79"/>
      <c r="N38" s="8"/>
    </row>
    <row r="39" spans="1:14" s="2" customFormat="1" ht="38.25" customHeight="1">
      <c r="A39" s="55" t="s">
        <v>26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8"/>
    </row>
    <row r="40" spans="1:14" s="2" customFormat="1" ht="48" customHeight="1">
      <c r="A40" s="11" t="s">
        <v>2</v>
      </c>
      <c r="B40" s="56" t="s">
        <v>3</v>
      </c>
      <c r="C40" s="57"/>
      <c r="D40" s="58"/>
      <c r="E40" s="68" t="s">
        <v>27</v>
      </c>
      <c r="F40" s="69"/>
      <c r="G40" s="70"/>
      <c r="H40" s="56" t="s">
        <v>41</v>
      </c>
      <c r="I40" s="57"/>
      <c r="J40" s="57"/>
      <c r="K40" s="57"/>
      <c r="L40" s="57"/>
      <c r="M40" s="58"/>
      <c r="N40" s="8"/>
    </row>
    <row r="41" spans="1:14" s="2" customFormat="1" ht="81" customHeight="1">
      <c r="A41" s="22">
        <v>1</v>
      </c>
      <c r="B41" s="38" t="s">
        <v>6</v>
      </c>
      <c r="C41" s="38"/>
      <c r="D41" s="38"/>
      <c r="E41" s="78" t="s">
        <v>40</v>
      </c>
      <c r="F41" s="95"/>
      <c r="G41" s="79"/>
      <c r="H41" s="42" t="s">
        <v>113</v>
      </c>
      <c r="I41" s="42"/>
      <c r="J41" s="42"/>
      <c r="K41" s="42"/>
      <c r="L41" s="42"/>
      <c r="M41" s="42"/>
      <c r="N41" s="8"/>
    </row>
    <row r="42" spans="1:14" s="2" customFormat="1" ht="84" customHeight="1">
      <c r="A42" s="23">
        <v>2</v>
      </c>
      <c r="B42" s="99" t="s">
        <v>25</v>
      </c>
      <c r="C42" s="100"/>
      <c r="D42" s="101"/>
      <c r="E42" s="96"/>
      <c r="F42" s="97"/>
      <c r="G42" s="98"/>
      <c r="H42" s="78" t="s">
        <v>113</v>
      </c>
      <c r="I42" s="95"/>
      <c r="J42" s="95"/>
      <c r="K42" s="95"/>
      <c r="L42" s="95"/>
      <c r="M42" s="79"/>
      <c r="N42" s="8"/>
    </row>
    <row r="43" spans="1:14" s="2" customFormat="1" ht="52.5" customHeight="1">
      <c r="A43" s="55" t="s">
        <v>82</v>
      </c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8"/>
    </row>
    <row r="44" spans="1:14" ht="49.5" customHeight="1">
      <c r="A44" s="19" t="s">
        <v>1</v>
      </c>
      <c r="B44" s="87" t="s">
        <v>31</v>
      </c>
      <c r="C44" s="87"/>
      <c r="D44" s="87" t="s">
        <v>30</v>
      </c>
      <c r="E44" s="87"/>
      <c r="F44" s="25" t="s">
        <v>29</v>
      </c>
      <c r="G44" s="87" t="s">
        <v>14</v>
      </c>
      <c r="H44" s="87"/>
      <c r="I44" s="87"/>
      <c r="J44" s="87" t="s">
        <v>135</v>
      </c>
      <c r="K44" s="87"/>
      <c r="L44" s="87" t="s">
        <v>150</v>
      </c>
      <c r="M44" s="87"/>
      <c r="N44" s="8"/>
    </row>
    <row r="45" spans="1:14" ht="34.5" customHeight="1">
      <c r="A45" s="107">
        <v>1</v>
      </c>
      <c r="B45" s="59" t="s">
        <v>6</v>
      </c>
      <c r="C45" s="61"/>
      <c r="D45" s="99" t="s">
        <v>316</v>
      </c>
      <c r="E45" s="101"/>
      <c r="F45" s="107" t="s">
        <v>12</v>
      </c>
      <c r="G45" s="78" t="s">
        <v>35</v>
      </c>
      <c r="H45" s="95"/>
      <c r="I45" s="79"/>
      <c r="J45" s="52">
        <v>83200</v>
      </c>
      <c r="K45" s="111"/>
      <c r="L45" s="78">
        <v>3</v>
      </c>
      <c r="M45" s="79"/>
      <c r="N45" s="8" t="s">
        <v>99</v>
      </c>
    </row>
    <row r="46" spans="1:14" ht="32.25" customHeight="1">
      <c r="A46" s="108"/>
      <c r="B46" s="38" t="s">
        <v>32</v>
      </c>
      <c r="C46" s="38"/>
      <c r="D46" s="112"/>
      <c r="E46" s="113"/>
      <c r="F46" s="108"/>
      <c r="G46" s="96"/>
      <c r="H46" s="97"/>
      <c r="I46" s="98"/>
      <c r="J46" s="52">
        <v>83200</v>
      </c>
      <c r="K46" s="111"/>
      <c r="L46" s="96"/>
      <c r="M46" s="98"/>
      <c r="N46" s="8"/>
    </row>
    <row r="47" spans="1:14" ht="37.5" customHeight="1">
      <c r="A47" s="42">
        <v>2</v>
      </c>
      <c r="B47" s="38" t="s">
        <v>6</v>
      </c>
      <c r="C47" s="38"/>
      <c r="D47" s="38" t="s">
        <v>34</v>
      </c>
      <c r="E47" s="38"/>
      <c r="F47" s="22" t="s">
        <v>12</v>
      </c>
      <c r="G47" s="42" t="s">
        <v>35</v>
      </c>
      <c r="H47" s="42"/>
      <c r="I47" s="42"/>
      <c r="J47" s="52">
        <v>100000</v>
      </c>
      <c r="K47" s="54"/>
      <c r="L47" s="42">
        <v>3</v>
      </c>
      <c r="M47" s="42"/>
      <c r="N47" s="8"/>
    </row>
    <row r="48" spans="1:14" ht="33.75" customHeight="1">
      <c r="A48" s="42"/>
      <c r="B48" s="38" t="s">
        <v>32</v>
      </c>
      <c r="C48" s="38"/>
      <c r="D48" s="38"/>
      <c r="E48" s="38"/>
      <c r="F48" s="22" t="s">
        <v>195</v>
      </c>
      <c r="G48" s="102" t="s">
        <v>195</v>
      </c>
      <c r="H48" s="103"/>
      <c r="I48" s="104"/>
      <c r="J48" s="105" t="s">
        <v>195</v>
      </c>
      <c r="K48" s="106"/>
      <c r="L48" s="42" t="s">
        <v>195</v>
      </c>
      <c r="M48" s="42"/>
      <c r="N48" s="8"/>
    </row>
    <row r="49" spans="1:14" ht="23.25" customHeight="1">
      <c r="A49" s="42">
        <v>3</v>
      </c>
      <c r="B49" s="38" t="s">
        <v>6</v>
      </c>
      <c r="C49" s="38"/>
      <c r="D49" s="38" t="s">
        <v>282</v>
      </c>
      <c r="E49" s="38"/>
      <c r="F49" s="107" t="s">
        <v>12</v>
      </c>
      <c r="G49" s="78" t="s">
        <v>35</v>
      </c>
      <c r="H49" s="95"/>
      <c r="I49" s="79"/>
      <c r="J49" s="109">
        <f>31141*105.4/100</f>
        <v>32822.614000000001</v>
      </c>
      <c r="K49" s="110"/>
      <c r="L49" s="78">
        <v>3</v>
      </c>
      <c r="M49" s="79"/>
      <c r="N49" s="8"/>
    </row>
    <row r="50" spans="1:14" ht="33.75" customHeight="1">
      <c r="A50" s="42"/>
      <c r="B50" s="38" t="s">
        <v>32</v>
      </c>
      <c r="C50" s="38"/>
      <c r="D50" s="38"/>
      <c r="E50" s="38"/>
      <c r="F50" s="108"/>
      <c r="G50" s="96"/>
      <c r="H50" s="97"/>
      <c r="I50" s="98"/>
      <c r="J50" s="105"/>
      <c r="K50" s="106"/>
      <c r="L50" s="96"/>
      <c r="M50" s="98"/>
      <c r="N50" s="8"/>
    </row>
    <row r="51" spans="1:14" ht="27" customHeight="1">
      <c r="A51" s="42">
        <v>4</v>
      </c>
      <c r="B51" s="38" t="s">
        <v>6</v>
      </c>
      <c r="C51" s="38"/>
      <c r="D51" s="38" t="s">
        <v>283</v>
      </c>
      <c r="E51" s="38"/>
      <c r="F51" s="107" t="s">
        <v>12</v>
      </c>
      <c r="G51" s="78" t="s">
        <v>35</v>
      </c>
      <c r="H51" s="95"/>
      <c r="I51" s="79"/>
      <c r="J51" s="109">
        <f>146081.23*105.4/100</f>
        <v>153969.61642000003</v>
      </c>
      <c r="K51" s="110"/>
      <c r="L51" s="78">
        <v>3</v>
      </c>
      <c r="M51" s="79"/>
      <c r="N51" s="8"/>
    </row>
    <row r="52" spans="1:14" ht="33.75" customHeight="1">
      <c r="A52" s="42"/>
      <c r="B52" s="38" t="s">
        <v>32</v>
      </c>
      <c r="C52" s="38"/>
      <c r="D52" s="38"/>
      <c r="E52" s="38"/>
      <c r="F52" s="108"/>
      <c r="G52" s="96"/>
      <c r="H52" s="97"/>
      <c r="I52" s="98"/>
      <c r="J52" s="105"/>
      <c r="K52" s="106"/>
      <c r="L52" s="96"/>
      <c r="M52" s="98"/>
      <c r="N52" s="8"/>
    </row>
    <row r="53" spans="1:14" ht="24" customHeight="1">
      <c r="A53" s="42">
        <v>5</v>
      </c>
      <c r="B53" s="38" t="s">
        <v>6</v>
      </c>
      <c r="C53" s="38"/>
      <c r="D53" s="38" t="s">
        <v>317</v>
      </c>
      <c r="E53" s="38"/>
      <c r="F53" s="107" t="s">
        <v>12</v>
      </c>
      <c r="G53" s="78" t="s">
        <v>35</v>
      </c>
      <c r="H53" s="95"/>
      <c r="I53" s="79"/>
      <c r="J53" s="109">
        <v>28410</v>
      </c>
      <c r="K53" s="110"/>
      <c r="L53" s="42">
        <v>3</v>
      </c>
      <c r="M53" s="42"/>
      <c r="N53" s="8"/>
    </row>
    <row r="54" spans="1:14" ht="37.5" customHeight="1">
      <c r="A54" s="42"/>
      <c r="B54" s="38" t="s">
        <v>32</v>
      </c>
      <c r="C54" s="38"/>
      <c r="D54" s="38"/>
      <c r="E54" s="38"/>
      <c r="F54" s="108"/>
      <c r="G54" s="96"/>
      <c r="H54" s="97"/>
      <c r="I54" s="98"/>
      <c r="J54" s="105"/>
      <c r="K54" s="106"/>
      <c r="L54" s="42"/>
      <c r="M54" s="42"/>
      <c r="N54" s="8"/>
    </row>
    <row r="55" spans="1:14" ht="27.75" customHeight="1">
      <c r="A55" s="42">
        <v>6</v>
      </c>
      <c r="B55" s="38" t="s">
        <v>6</v>
      </c>
      <c r="C55" s="38"/>
      <c r="D55" s="38" t="s">
        <v>318</v>
      </c>
      <c r="E55" s="38"/>
      <c r="F55" s="107" t="s">
        <v>12</v>
      </c>
      <c r="G55" s="42" t="s">
        <v>198</v>
      </c>
      <c r="H55" s="42"/>
      <c r="I55" s="42"/>
      <c r="J55" s="109">
        <v>117900</v>
      </c>
      <c r="K55" s="110"/>
      <c r="L55" s="42">
        <v>3</v>
      </c>
      <c r="M55" s="42"/>
      <c r="N55" s="8"/>
    </row>
    <row r="56" spans="1:14" ht="37.5" customHeight="1">
      <c r="A56" s="42"/>
      <c r="B56" s="38" t="s">
        <v>32</v>
      </c>
      <c r="C56" s="38"/>
      <c r="D56" s="38"/>
      <c r="E56" s="38"/>
      <c r="F56" s="108"/>
      <c r="G56" s="42"/>
      <c r="H56" s="42"/>
      <c r="I56" s="42"/>
      <c r="J56" s="105"/>
      <c r="K56" s="106"/>
      <c r="L56" s="42"/>
      <c r="M56" s="42"/>
      <c r="N56" s="8"/>
    </row>
    <row r="57" spans="1:14" ht="26.25" customHeight="1">
      <c r="A57" s="42">
        <v>7</v>
      </c>
      <c r="B57" s="38" t="s">
        <v>6</v>
      </c>
      <c r="C57" s="38"/>
      <c r="D57" s="38" t="s">
        <v>38</v>
      </c>
      <c r="E57" s="38"/>
      <c r="F57" s="42" t="s">
        <v>12</v>
      </c>
      <c r="G57" s="42" t="s">
        <v>147</v>
      </c>
      <c r="H57" s="42"/>
      <c r="I57" s="42"/>
      <c r="J57" s="77" t="s">
        <v>292</v>
      </c>
      <c r="K57" s="77"/>
      <c r="L57" s="42">
        <v>5</v>
      </c>
      <c r="M57" s="42"/>
      <c r="N57" s="8"/>
    </row>
    <row r="58" spans="1:14" ht="36" customHeight="1">
      <c r="A58" s="42"/>
      <c r="B58" s="38" t="s">
        <v>32</v>
      </c>
      <c r="C58" s="38"/>
      <c r="D58" s="38"/>
      <c r="E58" s="38"/>
      <c r="F58" s="42"/>
      <c r="G58" s="42"/>
      <c r="H58" s="42"/>
      <c r="I58" s="42"/>
      <c r="J58" s="77"/>
      <c r="K58" s="77"/>
      <c r="L58" s="42"/>
      <c r="M58" s="42"/>
      <c r="N58" s="8"/>
    </row>
    <row r="59" spans="1:14" ht="31.5" customHeight="1">
      <c r="A59" s="42">
        <v>8</v>
      </c>
      <c r="B59" s="38" t="s">
        <v>6</v>
      </c>
      <c r="C59" s="38"/>
      <c r="D59" s="38" t="s">
        <v>203</v>
      </c>
      <c r="E59" s="38"/>
      <c r="F59" s="107" t="s">
        <v>12</v>
      </c>
      <c r="G59" s="42" t="s">
        <v>198</v>
      </c>
      <c r="H59" s="42"/>
      <c r="I59" s="42"/>
      <c r="J59" s="77" t="s">
        <v>292</v>
      </c>
      <c r="K59" s="77"/>
      <c r="L59" s="42">
        <v>5</v>
      </c>
      <c r="M59" s="42"/>
      <c r="N59" s="8"/>
    </row>
    <row r="60" spans="1:14" ht="37.15" customHeight="1">
      <c r="A60" s="42"/>
      <c r="B60" s="38" t="s">
        <v>32</v>
      </c>
      <c r="C60" s="38"/>
      <c r="D60" s="38"/>
      <c r="E60" s="38"/>
      <c r="F60" s="108"/>
      <c r="G60" s="42"/>
      <c r="H60" s="42"/>
      <c r="I60" s="42"/>
      <c r="J60" s="77"/>
      <c r="K60" s="77"/>
      <c r="L60" s="42"/>
      <c r="M60" s="42"/>
      <c r="N60" s="8"/>
    </row>
    <row r="61" spans="1:14" ht="30.75" customHeight="1">
      <c r="A61" s="42">
        <v>9</v>
      </c>
      <c r="B61" s="38" t="s">
        <v>6</v>
      </c>
      <c r="C61" s="38"/>
      <c r="D61" s="38" t="s">
        <v>36</v>
      </c>
      <c r="E61" s="38"/>
      <c r="F61" s="107" t="s">
        <v>12</v>
      </c>
      <c r="G61" s="78" t="s">
        <v>35</v>
      </c>
      <c r="H61" s="95"/>
      <c r="I61" s="79"/>
      <c r="J61" s="80">
        <f>6904.17*105.4/100</f>
        <v>7276.9951800000008</v>
      </c>
      <c r="K61" s="82"/>
      <c r="L61" s="78">
        <v>3</v>
      </c>
      <c r="M61" s="79"/>
      <c r="N61" s="8"/>
    </row>
    <row r="62" spans="1:14" ht="30" customHeight="1">
      <c r="A62" s="42"/>
      <c r="B62" s="38" t="s">
        <v>32</v>
      </c>
      <c r="C62" s="38"/>
      <c r="D62" s="38"/>
      <c r="E62" s="38"/>
      <c r="F62" s="108"/>
      <c r="G62" s="96"/>
      <c r="H62" s="97"/>
      <c r="I62" s="98"/>
      <c r="J62" s="114"/>
      <c r="K62" s="115"/>
      <c r="L62" s="96"/>
      <c r="M62" s="98"/>
      <c r="N62" s="8"/>
    </row>
    <row r="63" spans="1:14" ht="30.75" customHeight="1">
      <c r="A63" s="42">
        <v>10</v>
      </c>
      <c r="B63" s="38" t="s">
        <v>6</v>
      </c>
      <c r="C63" s="38"/>
      <c r="D63" s="38" t="s">
        <v>37</v>
      </c>
      <c r="E63" s="38"/>
      <c r="F63" s="107" t="s">
        <v>12</v>
      </c>
      <c r="G63" s="78" t="s">
        <v>35</v>
      </c>
      <c r="H63" s="95"/>
      <c r="I63" s="79"/>
      <c r="J63" s="80">
        <f>1045*105.4/100</f>
        <v>1101.43</v>
      </c>
      <c r="K63" s="82"/>
      <c r="L63" s="78">
        <v>3</v>
      </c>
      <c r="M63" s="79"/>
      <c r="N63" s="8"/>
    </row>
    <row r="64" spans="1:14" ht="29.25" customHeight="1">
      <c r="A64" s="42"/>
      <c r="B64" s="38" t="s">
        <v>32</v>
      </c>
      <c r="C64" s="38"/>
      <c r="D64" s="38"/>
      <c r="E64" s="38"/>
      <c r="F64" s="108"/>
      <c r="G64" s="96"/>
      <c r="H64" s="97"/>
      <c r="I64" s="98"/>
      <c r="J64" s="114"/>
      <c r="K64" s="115"/>
      <c r="L64" s="96"/>
      <c r="M64" s="98"/>
      <c r="N64" s="8"/>
    </row>
    <row r="65" spans="1:14" ht="30.75" customHeight="1">
      <c r="A65" s="42">
        <v>11</v>
      </c>
      <c r="B65" s="38" t="s">
        <v>6</v>
      </c>
      <c r="C65" s="38"/>
      <c r="D65" s="38" t="s">
        <v>319</v>
      </c>
      <c r="E65" s="38"/>
      <c r="F65" s="42" t="s">
        <v>12</v>
      </c>
      <c r="G65" s="42" t="s">
        <v>35</v>
      </c>
      <c r="H65" s="42"/>
      <c r="I65" s="42"/>
      <c r="J65" s="80">
        <f>1045*105.4/100</f>
        <v>1101.43</v>
      </c>
      <c r="K65" s="82"/>
      <c r="L65" s="78">
        <v>3</v>
      </c>
      <c r="M65" s="79"/>
      <c r="N65" s="8"/>
    </row>
    <row r="66" spans="1:14" ht="33" customHeight="1">
      <c r="A66" s="42"/>
      <c r="B66" s="38" t="s">
        <v>32</v>
      </c>
      <c r="C66" s="38"/>
      <c r="D66" s="38"/>
      <c r="E66" s="38"/>
      <c r="F66" s="42"/>
      <c r="G66" s="42"/>
      <c r="H66" s="42"/>
      <c r="I66" s="42"/>
      <c r="J66" s="114"/>
      <c r="K66" s="115"/>
      <c r="L66" s="96"/>
      <c r="M66" s="98"/>
      <c r="N66" s="8"/>
    </row>
    <row r="67" spans="1:14" ht="30" customHeight="1">
      <c r="A67" s="107">
        <v>12</v>
      </c>
      <c r="B67" s="59" t="s">
        <v>6</v>
      </c>
      <c r="C67" s="61"/>
      <c r="D67" s="99" t="s">
        <v>252</v>
      </c>
      <c r="E67" s="101"/>
      <c r="F67" s="107" t="s">
        <v>12</v>
      </c>
      <c r="G67" s="78" t="s">
        <v>35</v>
      </c>
      <c r="H67" s="95"/>
      <c r="I67" s="79"/>
      <c r="J67" s="80">
        <f>41800*105.4/100</f>
        <v>44057.2</v>
      </c>
      <c r="K67" s="82"/>
      <c r="L67" s="78">
        <v>3</v>
      </c>
      <c r="M67" s="79"/>
      <c r="N67" s="8"/>
    </row>
    <row r="68" spans="1:14" ht="30" customHeight="1">
      <c r="A68" s="108"/>
      <c r="B68" s="59" t="s">
        <v>32</v>
      </c>
      <c r="C68" s="61"/>
      <c r="D68" s="112"/>
      <c r="E68" s="113"/>
      <c r="F68" s="108"/>
      <c r="G68" s="96"/>
      <c r="H68" s="97"/>
      <c r="I68" s="98"/>
      <c r="J68" s="114"/>
      <c r="K68" s="115"/>
      <c r="L68" s="96"/>
      <c r="M68" s="98"/>
      <c r="N68" s="8"/>
    </row>
    <row r="69" spans="1:14" ht="27.75" customHeight="1">
      <c r="A69" s="42">
        <v>13</v>
      </c>
      <c r="B69" s="38" t="s">
        <v>6</v>
      </c>
      <c r="C69" s="38"/>
      <c r="D69" s="38" t="s">
        <v>196</v>
      </c>
      <c r="E69" s="38"/>
      <c r="F69" s="42" t="s">
        <v>12</v>
      </c>
      <c r="G69" s="42" t="s">
        <v>147</v>
      </c>
      <c r="H69" s="42"/>
      <c r="I69" s="42"/>
      <c r="J69" s="77" t="s">
        <v>292</v>
      </c>
      <c r="K69" s="77"/>
      <c r="L69" s="42">
        <v>3</v>
      </c>
      <c r="M69" s="42"/>
      <c r="N69" s="8"/>
    </row>
    <row r="70" spans="1:14" ht="30" customHeight="1">
      <c r="A70" s="42"/>
      <c r="B70" s="38" t="s">
        <v>32</v>
      </c>
      <c r="C70" s="38"/>
      <c r="D70" s="38"/>
      <c r="E70" s="38"/>
      <c r="F70" s="42"/>
      <c r="G70" s="42"/>
      <c r="H70" s="42"/>
      <c r="I70" s="42"/>
      <c r="J70" s="77"/>
      <c r="K70" s="77"/>
      <c r="L70" s="42"/>
      <c r="M70" s="42"/>
      <c r="N70" s="8"/>
    </row>
    <row r="71" spans="1:14" ht="30" customHeight="1">
      <c r="A71" s="42">
        <v>14</v>
      </c>
      <c r="B71" s="38" t="s">
        <v>6</v>
      </c>
      <c r="C71" s="38"/>
      <c r="D71" s="38" t="s">
        <v>197</v>
      </c>
      <c r="E71" s="38"/>
      <c r="F71" s="107" t="s">
        <v>12</v>
      </c>
      <c r="G71" s="78" t="s">
        <v>35</v>
      </c>
      <c r="H71" s="95"/>
      <c r="I71" s="79"/>
      <c r="J71" s="80">
        <f>5225*105.4/100</f>
        <v>5507.15</v>
      </c>
      <c r="K71" s="82"/>
      <c r="L71" s="78">
        <v>5</v>
      </c>
      <c r="M71" s="79"/>
      <c r="N71" s="8"/>
    </row>
    <row r="72" spans="1:14" ht="30" customHeight="1">
      <c r="A72" s="42"/>
      <c r="B72" s="38" t="s">
        <v>32</v>
      </c>
      <c r="C72" s="38"/>
      <c r="D72" s="38"/>
      <c r="E72" s="38"/>
      <c r="F72" s="108"/>
      <c r="G72" s="96"/>
      <c r="H72" s="97"/>
      <c r="I72" s="98"/>
      <c r="J72" s="114"/>
      <c r="K72" s="115"/>
      <c r="L72" s="96"/>
      <c r="M72" s="98"/>
      <c r="N72" s="8"/>
    </row>
    <row r="73" spans="1:14" ht="30" customHeight="1">
      <c r="A73" s="42">
        <v>15</v>
      </c>
      <c r="B73" s="38" t="s">
        <v>6</v>
      </c>
      <c r="C73" s="38"/>
      <c r="D73" s="38" t="s">
        <v>42</v>
      </c>
      <c r="E73" s="38"/>
      <c r="F73" s="42" t="s">
        <v>12</v>
      </c>
      <c r="G73" s="42" t="s">
        <v>162</v>
      </c>
      <c r="H73" s="42"/>
      <c r="I73" s="42"/>
      <c r="J73" s="77" t="s">
        <v>292</v>
      </c>
      <c r="K73" s="77"/>
      <c r="L73" s="42">
        <v>5</v>
      </c>
      <c r="M73" s="42"/>
      <c r="N73" s="8"/>
    </row>
    <row r="74" spans="1:14" ht="30.75" customHeight="1">
      <c r="A74" s="42"/>
      <c r="B74" s="38" t="s">
        <v>32</v>
      </c>
      <c r="C74" s="38"/>
      <c r="D74" s="38"/>
      <c r="E74" s="38"/>
      <c r="F74" s="42"/>
      <c r="G74" s="42"/>
      <c r="H74" s="42"/>
      <c r="I74" s="42"/>
      <c r="J74" s="77"/>
      <c r="K74" s="77"/>
      <c r="L74" s="42"/>
      <c r="M74" s="42"/>
      <c r="N74" s="8"/>
    </row>
    <row r="75" spans="1:14" ht="30" customHeight="1">
      <c r="A75" s="42">
        <v>16</v>
      </c>
      <c r="B75" s="38" t="s">
        <v>6</v>
      </c>
      <c r="C75" s="38"/>
      <c r="D75" s="38" t="s">
        <v>243</v>
      </c>
      <c r="E75" s="38"/>
      <c r="F75" s="42" t="s">
        <v>12</v>
      </c>
      <c r="G75" s="42" t="s">
        <v>100</v>
      </c>
      <c r="H75" s="42"/>
      <c r="I75" s="42"/>
      <c r="J75" s="77">
        <f>3135*105.4/100</f>
        <v>3304.29</v>
      </c>
      <c r="K75" s="77"/>
      <c r="L75" s="42">
        <v>5</v>
      </c>
      <c r="M75" s="42"/>
      <c r="N75" s="8"/>
    </row>
    <row r="76" spans="1:14" ht="30" customHeight="1">
      <c r="A76" s="42"/>
      <c r="B76" s="38" t="s">
        <v>32</v>
      </c>
      <c r="C76" s="38"/>
      <c r="D76" s="38"/>
      <c r="E76" s="38"/>
      <c r="F76" s="42"/>
      <c r="G76" s="42"/>
      <c r="H76" s="42"/>
      <c r="I76" s="42"/>
      <c r="J76" s="77"/>
      <c r="K76" s="77"/>
      <c r="L76" s="42"/>
      <c r="M76" s="42"/>
      <c r="N76" s="8"/>
    </row>
    <row r="77" spans="1:14" ht="39.75" customHeight="1">
      <c r="A77" s="107">
        <v>17</v>
      </c>
      <c r="B77" s="38" t="s">
        <v>6</v>
      </c>
      <c r="C77" s="38"/>
      <c r="D77" s="99" t="s">
        <v>230</v>
      </c>
      <c r="E77" s="101"/>
      <c r="F77" s="107" t="s">
        <v>12</v>
      </c>
      <c r="G77" s="42" t="s">
        <v>242</v>
      </c>
      <c r="H77" s="42"/>
      <c r="I77" s="42"/>
      <c r="J77" s="80">
        <f>4180*105.4/100</f>
        <v>4405.72</v>
      </c>
      <c r="K77" s="82"/>
      <c r="L77" s="78">
        <v>2</v>
      </c>
      <c r="M77" s="79"/>
      <c r="N77" s="8"/>
    </row>
    <row r="78" spans="1:14" ht="30" customHeight="1">
      <c r="A78" s="108"/>
      <c r="B78" s="38" t="s">
        <v>32</v>
      </c>
      <c r="C78" s="38"/>
      <c r="D78" s="112"/>
      <c r="E78" s="113"/>
      <c r="F78" s="108"/>
      <c r="G78" s="42"/>
      <c r="H78" s="42"/>
      <c r="I78" s="42"/>
      <c r="J78" s="114"/>
      <c r="K78" s="115"/>
      <c r="L78" s="96"/>
      <c r="M78" s="98"/>
      <c r="N78" s="8"/>
    </row>
    <row r="79" spans="1:14" ht="30" customHeight="1">
      <c r="A79" s="107">
        <v>18</v>
      </c>
      <c r="B79" s="38" t="s">
        <v>6</v>
      </c>
      <c r="C79" s="38"/>
      <c r="D79" s="99" t="s">
        <v>232</v>
      </c>
      <c r="E79" s="101"/>
      <c r="F79" s="107" t="s">
        <v>12</v>
      </c>
      <c r="G79" s="42" t="s">
        <v>231</v>
      </c>
      <c r="H79" s="42"/>
      <c r="I79" s="42"/>
      <c r="J79" s="80">
        <f>1045*105.4/100</f>
        <v>1101.43</v>
      </c>
      <c r="K79" s="82"/>
      <c r="L79" s="78">
        <v>3</v>
      </c>
      <c r="M79" s="79"/>
      <c r="N79" s="8"/>
    </row>
    <row r="80" spans="1:14" ht="30" customHeight="1">
      <c r="A80" s="108"/>
      <c r="B80" s="38" t="s">
        <v>32</v>
      </c>
      <c r="C80" s="38"/>
      <c r="D80" s="112"/>
      <c r="E80" s="113"/>
      <c r="F80" s="108"/>
      <c r="G80" s="42"/>
      <c r="H80" s="42"/>
      <c r="I80" s="42"/>
      <c r="J80" s="114"/>
      <c r="K80" s="115"/>
      <c r="L80" s="96"/>
      <c r="M80" s="98"/>
      <c r="N80" s="8"/>
    </row>
    <row r="81" spans="1:14" ht="30" customHeight="1">
      <c r="A81" s="107">
        <v>19</v>
      </c>
      <c r="B81" s="38" t="s">
        <v>6</v>
      </c>
      <c r="C81" s="38"/>
      <c r="D81" s="99" t="s">
        <v>244</v>
      </c>
      <c r="E81" s="101"/>
      <c r="F81" s="107" t="s">
        <v>12</v>
      </c>
      <c r="G81" s="78" t="s">
        <v>88</v>
      </c>
      <c r="H81" s="95"/>
      <c r="I81" s="79"/>
      <c r="J81" s="80">
        <f>1776.5*105.4/100</f>
        <v>1872.431</v>
      </c>
      <c r="K81" s="82"/>
      <c r="L81" s="78">
        <v>10</v>
      </c>
      <c r="M81" s="79"/>
      <c r="N81" s="8"/>
    </row>
    <row r="82" spans="1:14" ht="30" customHeight="1">
      <c r="A82" s="108"/>
      <c r="B82" s="38" t="s">
        <v>32</v>
      </c>
      <c r="C82" s="38"/>
      <c r="D82" s="112"/>
      <c r="E82" s="113"/>
      <c r="F82" s="108"/>
      <c r="G82" s="96"/>
      <c r="H82" s="97"/>
      <c r="I82" s="98"/>
      <c r="J82" s="114"/>
      <c r="K82" s="115"/>
      <c r="L82" s="96"/>
      <c r="M82" s="98"/>
      <c r="N82" s="8"/>
    </row>
    <row r="83" spans="1:14" ht="30" customHeight="1">
      <c r="A83" s="107">
        <v>20</v>
      </c>
      <c r="B83" s="38" t="s">
        <v>6</v>
      </c>
      <c r="C83" s="38"/>
      <c r="D83" s="99" t="s">
        <v>247</v>
      </c>
      <c r="E83" s="101"/>
      <c r="F83" s="107" t="s">
        <v>12</v>
      </c>
      <c r="G83" s="42" t="s">
        <v>248</v>
      </c>
      <c r="H83" s="42"/>
      <c r="I83" s="42"/>
      <c r="J83" s="80">
        <f>8778*105.4/100</f>
        <v>9252.0120000000006</v>
      </c>
      <c r="K83" s="82"/>
      <c r="L83" s="78">
        <v>5</v>
      </c>
      <c r="M83" s="79"/>
      <c r="N83" s="8"/>
    </row>
    <row r="84" spans="1:14" ht="30" customHeight="1">
      <c r="A84" s="108"/>
      <c r="B84" s="38" t="s">
        <v>32</v>
      </c>
      <c r="C84" s="38"/>
      <c r="D84" s="112"/>
      <c r="E84" s="113"/>
      <c r="F84" s="108"/>
      <c r="G84" s="42"/>
      <c r="H84" s="42"/>
      <c r="I84" s="42"/>
      <c r="J84" s="114"/>
      <c r="K84" s="115"/>
      <c r="L84" s="96"/>
      <c r="M84" s="98"/>
      <c r="N84" s="8"/>
    </row>
    <row r="85" spans="1:14" ht="30" customHeight="1">
      <c r="A85" s="107">
        <v>21</v>
      </c>
      <c r="B85" s="38" t="s">
        <v>6</v>
      </c>
      <c r="C85" s="38"/>
      <c r="D85" s="99" t="s">
        <v>245</v>
      </c>
      <c r="E85" s="101"/>
      <c r="F85" s="107" t="s">
        <v>12</v>
      </c>
      <c r="G85" s="42" t="s">
        <v>248</v>
      </c>
      <c r="H85" s="42"/>
      <c r="I85" s="42"/>
      <c r="J85" s="80">
        <f>2612.5*105.4/100</f>
        <v>2753.5749999999998</v>
      </c>
      <c r="K85" s="82"/>
      <c r="L85" s="78">
        <v>5</v>
      </c>
      <c r="M85" s="79"/>
      <c r="N85" s="8"/>
    </row>
    <row r="86" spans="1:14" ht="30" customHeight="1">
      <c r="A86" s="108"/>
      <c r="B86" s="38" t="s">
        <v>32</v>
      </c>
      <c r="C86" s="38"/>
      <c r="D86" s="112"/>
      <c r="E86" s="113"/>
      <c r="F86" s="108"/>
      <c r="G86" s="42"/>
      <c r="H86" s="42"/>
      <c r="I86" s="42"/>
      <c r="J86" s="114"/>
      <c r="K86" s="115"/>
      <c r="L86" s="96"/>
      <c r="M86" s="98"/>
      <c r="N86" s="8"/>
    </row>
    <row r="87" spans="1:14" ht="30" customHeight="1">
      <c r="A87" s="107">
        <v>22</v>
      </c>
      <c r="B87" s="38" t="s">
        <v>6</v>
      </c>
      <c r="C87" s="38"/>
      <c r="D87" s="99" t="s">
        <v>241</v>
      </c>
      <c r="E87" s="101"/>
      <c r="F87" s="107" t="s">
        <v>12</v>
      </c>
      <c r="G87" s="42" t="s">
        <v>248</v>
      </c>
      <c r="H87" s="42"/>
      <c r="I87" s="42"/>
      <c r="J87" s="80">
        <f>15348.46*105.4/100</f>
        <v>16177.276839999999</v>
      </c>
      <c r="K87" s="82"/>
      <c r="L87" s="78">
        <v>5</v>
      </c>
      <c r="M87" s="79"/>
      <c r="N87" s="8"/>
    </row>
    <row r="88" spans="1:14" ht="34.5" customHeight="1">
      <c r="A88" s="108"/>
      <c r="B88" s="38" t="s">
        <v>32</v>
      </c>
      <c r="C88" s="38"/>
      <c r="D88" s="112"/>
      <c r="E88" s="113"/>
      <c r="F88" s="108"/>
      <c r="G88" s="42"/>
      <c r="H88" s="42"/>
      <c r="I88" s="42"/>
      <c r="J88" s="114"/>
      <c r="K88" s="115"/>
      <c r="L88" s="96"/>
      <c r="M88" s="98"/>
      <c r="N88" s="8"/>
    </row>
    <row r="89" spans="1:14" ht="34.5" customHeight="1">
      <c r="A89" s="107">
        <v>23</v>
      </c>
      <c r="B89" s="38" t="s">
        <v>6</v>
      </c>
      <c r="C89" s="38"/>
      <c r="D89" s="99" t="s">
        <v>249</v>
      </c>
      <c r="E89" s="101"/>
      <c r="F89" s="107" t="s">
        <v>12</v>
      </c>
      <c r="G89" s="42" t="s">
        <v>100</v>
      </c>
      <c r="H89" s="42"/>
      <c r="I89" s="42"/>
      <c r="J89" s="80">
        <f>47025*105.4/100</f>
        <v>49564.35</v>
      </c>
      <c r="K89" s="82"/>
      <c r="L89" s="78">
        <v>5</v>
      </c>
      <c r="M89" s="79"/>
      <c r="N89" s="8"/>
    </row>
    <row r="90" spans="1:14" ht="34.5" customHeight="1">
      <c r="A90" s="108"/>
      <c r="B90" s="38" t="s">
        <v>32</v>
      </c>
      <c r="C90" s="38"/>
      <c r="D90" s="112"/>
      <c r="E90" s="113"/>
      <c r="F90" s="108"/>
      <c r="G90" s="42"/>
      <c r="H90" s="42"/>
      <c r="I90" s="42"/>
      <c r="J90" s="114"/>
      <c r="K90" s="115"/>
      <c r="L90" s="96"/>
      <c r="M90" s="98"/>
      <c r="N90" s="8"/>
    </row>
    <row r="91" spans="1:14" ht="78.75" customHeight="1">
      <c r="A91" s="22">
        <v>24</v>
      </c>
      <c r="B91" s="38" t="s">
        <v>19</v>
      </c>
      <c r="C91" s="38"/>
      <c r="D91" s="38" t="s">
        <v>320</v>
      </c>
      <c r="E91" s="38"/>
      <c r="F91" s="22" t="s">
        <v>12</v>
      </c>
      <c r="G91" s="42" t="s">
        <v>100</v>
      </c>
      <c r="H91" s="42"/>
      <c r="I91" s="42"/>
      <c r="J91" s="77">
        <f>3131.2*105.4/100</f>
        <v>3300.2847999999999</v>
      </c>
      <c r="K91" s="77"/>
      <c r="L91" s="42">
        <v>3</v>
      </c>
      <c r="M91" s="42"/>
      <c r="N91" s="6"/>
    </row>
    <row r="92" spans="1:14" ht="70.150000000000006" customHeight="1">
      <c r="A92" s="22">
        <v>25</v>
      </c>
      <c r="B92" s="38" t="s">
        <v>19</v>
      </c>
      <c r="C92" s="38"/>
      <c r="D92" s="38" t="s">
        <v>321</v>
      </c>
      <c r="E92" s="38"/>
      <c r="F92" s="22" t="s">
        <v>322</v>
      </c>
      <c r="G92" s="42" t="s">
        <v>323</v>
      </c>
      <c r="H92" s="42"/>
      <c r="I92" s="42"/>
      <c r="J92" s="77">
        <f>1045*105.4/100</f>
        <v>1101.43</v>
      </c>
      <c r="K92" s="77"/>
      <c r="L92" s="42">
        <v>3</v>
      </c>
      <c r="M92" s="42"/>
      <c r="N92" s="6"/>
    </row>
    <row r="93" spans="1:14" ht="51" customHeight="1">
      <c r="A93" s="22">
        <v>26</v>
      </c>
      <c r="B93" s="38" t="s">
        <v>19</v>
      </c>
      <c r="C93" s="38"/>
      <c r="D93" s="38" t="s">
        <v>250</v>
      </c>
      <c r="E93" s="38"/>
      <c r="F93" s="22" t="s">
        <v>12</v>
      </c>
      <c r="G93" s="42" t="s">
        <v>35</v>
      </c>
      <c r="H93" s="42"/>
      <c r="I93" s="42"/>
      <c r="J93" s="77">
        <f>836*105.4/100</f>
        <v>881.14400000000012</v>
      </c>
      <c r="K93" s="77"/>
      <c r="L93" s="42">
        <v>3</v>
      </c>
      <c r="M93" s="42"/>
      <c r="N93" s="6"/>
    </row>
    <row r="94" spans="1:14" ht="48" customHeight="1">
      <c r="A94" s="22">
        <v>27</v>
      </c>
      <c r="B94" s="38" t="s">
        <v>19</v>
      </c>
      <c r="C94" s="38"/>
      <c r="D94" s="38" t="s">
        <v>251</v>
      </c>
      <c r="E94" s="38"/>
      <c r="F94" s="22" t="s">
        <v>12</v>
      </c>
      <c r="G94" s="42" t="s">
        <v>35</v>
      </c>
      <c r="H94" s="42"/>
      <c r="I94" s="42"/>
      <c r="J94" s="77">
        <f>2090*105.4/100</f>
        <v>2202.86</v>
      </c>
      <c r="K94" s="77"/>
      <c r="L94" s="42">
        <v>3</v>
      </c>
      <c r="M94" s="42"/>
      <c r="N94" s="6"/>
    </row>
    <row r="95" spans="1:14" ht="103.5" customHeight="1">
      <c r="A95" s="22">
        <v>28</v>
      </c>
      <c r="B95" s="38" t="s">
        <v>19</v>
      </c>
      <c r="C95" s="38"/>
      <c r="D95" s="38" t="s">
        <v>183</v>
      </c>
      <c r="E95" s="38"/>
      <c r="F95" s="22" t="s">
        <v>12</v>
      </c>
      <c r="G95" s="42" t="s">
        <v>35</v>
      </c>
      <c r="H95" s="42"/>
      <c r="I95" s="42"/>
      <c r="J95" s="77">
        <f>20900*105.4/100</f>
        <v>22028.6</v>
      </c>
      <c r="K95" s="77"/>
      <c r="L95" s="42">
        <v>3</v>
      </c>
      <c r="M95" s="42"/>
      <c r="N95" s="8"/>
    </row>
    <row r="96" spans="1:14" ht="44.65" customHeight="1">
      <c r="A96" s="23">
        <v>28</v>
      </c>
      <c r="B96" s="38" t="s">
        <v>19</v>
      </c>
      <c r="C96" s="38"/>
      <c r="D96" s="59" t="s">
        <v>324</v>
      </c>
      <c r="E96" s="61"/>
      <c r="F96" s="23" t="s">
        <v>12</v>
      </c>
      <c r="G96" s="62" t="s">
        <v>325</v>
      </c>
      <c r="H96" s="63"/>
      <c r="I96" s="64"/>
      <c r="J96" s="80">
        <f>196867.55*105.4/100</f>
        <v>207498.3977</v>
      </c>
      <c r="K96" s="82"/>
      <c r="L96" s="39">
        <v>5</v>
      </c>
      <c r="M96" s="41"/>
      <c r="N96" s="8"/>
    </row>
    <row r="97" spans="1:14" ht="97.5" customHeight="1">
      <c r="A97" s="23">
        <v>29</v>
      </c>
      <c r="B97" s="38" t="s">
        <v>19</v>
      </c>
      <c r="C97" s="38"/>
      <c r="D97" s="59" t="s">
        <v>119</v>
      </c>
      <c r="E97" s="61"/>
      <c r="F97" s="23" t="s">
        <v>12</v>
      </c>
      <c r="G97" s="62" t="s">
        <v>40</v>
      </c>
      <c r="H97" s="63"/>
      <c r="I97" s="64"/>
      <c r="J97" s="80" t="s">
        <v>366</v>
      </c>
      <c r="K97" s="82"/>
      <c r="L97" s="39"/>
      <c r="M97" s="41"/>
      <c r="N97" s="8"/>
    </row>
    <row r="98" spans="1:14" ht="31.9" customHeight="1">
      <c r="A98" s="55" t="s">
        <v>43</v>
      </c>
      <c r="B98" s="55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8"/>
    </row>
    <row r="99" spans="1:14" ht="48.75" customHeight="1">
      <c r="A99" s="20" t="s">
        <v>2</v>
      </c>
      <c r="B99" s="116" t="s">
        <v>30</v>
      </c>
      <c r="C99" s="117"/>
      <c r="D99" s="118"/>
      <c r="E99" s="119" t="s">
        <v>10</v>
      </c>
      <c r="F99" s="120"/>
      <c r="G99" s="121"/>
      <c r="H99" s="116" t="s">
        <v>14</v>
      </c>
      <c r="I99" s="117"/>
      <c r="J99" s="118"/>
      <c r="K99" s="116" t="s">
        <v>135</v>
      </c>
      <c r="L99" s="117"/>
      <c r="M99" s="118"/>
      <c r="N99" s="8"/>
    </row>
    <row r="100" spans="1:14" ht="52.5" customHeight="1">
      <c r="A100" s="27"/>
      <c r="B100" s="39" t="s">
        <v>19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1"/>
      <c r="N100" s="8"/>
    </row>
    <row r="101" spans="1:14" ht="52.5" customHeight="1">
      <c r="A101" s="22">
        <v>1</v>
      </c>
      <c r="B101" s="38" t="s">
        <v>301</v>
      </c>
      <c r="C101" s="38"/>
      <c r="D101" s="38"/>
      <c r="E101" s="39" t="s">
        <v>12</v>
      </c>
      <c r="F101" s="40"/>
      <c r="G101" s="41"/>
      <c r="H101" s="42" t="s">
        <v>35</v>
      </c>
      <c r="I101" s="42"/>
      <c r="J101" s="42"/>
      <c r="K101" s="77">
        <f>2100.55*105.4/100</f>
        <v>2213.9797000000003</v>
      </c>
      <c r="L101" s="77"/>
      <c r="M101" s="77"/>
      <c r="N101" s="8"/>
    </row>
    <row r="102" spans="1:14" ht="39" customHeight="1">
      <c r="A102" s="22">
        <v>2</v>
      </c>
      <c r="B102" s="38" t="s">
        <v>237</v>
      </c>
      <c r="C102" s="38"/>
      <c r="D102" s="38"/>
      <c r="E102" s="39" t="s">
        <v>12</v>
      </c>
      <c r="F102" s="40"/>
      <c r="G102" s="41"/>
      <c r="H102" s="42" t="s">
        <v>198</v>
      </c>
      <c r="I102" s="42"/>
      <c r="J102" s="42"/>
      <c r="K102" s="77">
        <f>1870.55*105.4/100</f>
        <v>1971.5597</v>
      </c>
      <c r="L102" s="77"/>
      <c r="M102" s="77"/>
      <c r="N102" s="8"/>
    </row>
    <row r="103" spans="1:14" ht="40.15" customHeight="1">
      <c r="A103" s="42">
        <v>3</v>
      </c>
      <c r="B103" s="38" t="s">
        <v>236</v>
      </c>
      <c r="C103" s="38"/>
      <c r="D103" s="38"/>
      <c r="E103" s="78" t="s">
        <v>12</v>
      </c>
      <c r="F103" s="95"/>
      <c r="G103" s="79"/>
      <c r="H103" s="42" t="s">
        <v>199</v>
      </c>
      <c r="I103" s="42"/>
      <c r="J103" s="42"/>
      <c r="K103" s="77">
        <f>66.25*105.4/100</f>
        <v>69.827500000000001</v>
      </c>
      <c r="L103" s="77"/>
      <c r="M103" s="77"/>
      <c r="N103" s="8"/>
    </row>
    <row r="104" spans="1:14" ht="13.9" customHeight="1">
      <c r="A104" s="42"/>
      <c r="B104" s="38"/>
      <c r="C104" s="38"/>
      <c r="D104" s="38"/>
      <c r="E104" s="96"/>
      <c r="F104" s="97"/>
      <c r="G104" s="98"/>
      <c r="H104" s="42"/>
      <c r="I104" s="42"/>
      <c r="J104" s="42"/>
      <c r="K104" s="77"/>
      <c r="L104" s="77"/>
      <c r="M104" s="77"/>
      <c r="N104" s="8"/>
    </row>
    <row r="105" spans="1:14" ht="43.5" customHeight="1">
      <c r="A105" s="22">
        <v>4</v>
      </c>
      <c r="B105" s="38" t="s">
        <v>115</v>
      </c>
      <c r="C105" s="38"/>
      <c r="D105" s="38"/>
      <c r="E105" s="39" t="s">
        <v>12</v>
      </c>
      <c r="F105" s="40"/>
      <c r="G105" s="41"/>
      <c r="H105" s="42" t="s">
        <v>140</v>
      </c>
      <c r="I105" s="42"/>
      <c r="J105" s="42"/>
      <c r="K105" s="77">
        <f>7315*105.4/100</f>
        <v>7710.01</v>
      </c>
      <c r="L105" s="77"/>
      <c r="M105" s="77"/>
      <c r="N105" s="8"/>
    </row>
    <row r="106" spans="1:14" ht="46.9" customHeight="1">
      <c r="A106" s="22">
        <v>5</v>
      </c>
      <c r="B106" s="38" t="s">
        <v>204</v>
      </c>
      <c r="C106" s="38"/>
      <c r="D106" s="38"/>
      <c r="E106" s="39" t="s">
        <v>12</v>
      </c>
      <c r="F106" s="40"/>
      <c r="G106" s="41"/>
      <c r="H106" s="42" t="s">
        <v>40</v>
      </c>
      <c r="I106" s="42"/>
      <c r="J106" s="42"/>
      <c r="K106" s="77" t="s">
        <v>367</v>
      </c>
      <c r="L106" s="77"/>
      <c r="M106" s="77"/>
      <c r="N106" s="8"/>
    </row>
    <row r="107" spans="1:14" ht="27" hidden="1" customHeight="1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8"/>
    </row>
    <row r="108" spans="1:14" ht="31.5" customHeight="1">
      <c r="A108" s="31" t="s">
        <v>225</v>
      </c>
      <c r="B108" s="31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8"/>
    </row>
    <row r="109" spans="1:14" ht="63" customHeight="1">
      <c r="A109" s="16" t="s">
        <v>2</v>
      </c>
      <c r="B109" s="56" t="s">
        <v>30</v>
      </c>
      <c r="C109" s="57"/>
      <c r="D109" s="58"/>
      <c r="E109" s="68" t="s">
        <v>10</v>
      </c>
      <c r="F109" s="69"/>
      <c r="G109" s="70"/>
      <c r="H109" s="56" t="s">
        <v>44</v>
      </c>
      <c r="I109" s="57"/>
      <c r="J109" s="58"/>
      <c r="K109" s="56" t="s">
        <v>135</v>
      </c>
      <c r="L109" s="57"/>
      <c r="M109" s="58"/>
      <c r="N109" s="8"/>
    </row>
    <row r="110" spans="1:14" ht="20.65" customHeight="1">
      <c r="A110" s="27"/>
      <c r="B110" s="119" t="s">
        <v>19</v>
      </c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1"/>
      <c r="N110" s="8"/>
    </row>
    <row r="111" spans="1:14" ht="54.75" customHeight="1">
      <c r="A111" s="23">
        <v>1</v>
      </c>
      <c r="B111" s="99" t="s">
        <v>165</v>
      </c>
      <c r="C111" s="100"/>
      <c r="D111" s="101"/>
      <c r="E111" s="39" t="s">
        <v>12</v>
      </c>
      <c r="F111" s="40"/>
      <c r="G111" s="41"/>
      <c r="H111" s="78" t="s">
        <v>218</v>
      </c>
      <c r="I111" s="95"/>
      <c r="J111" s="79"/>
      <c r="K111" s="80">
        <f>9405*105.4/100</f>
        <v>9912.8700000000008</v>
      </c>
      <c r="L111" s="81"/>
      <c r="M111" s="82"/>
      <c r="N111" s="8"/>
    </row>
    <row r="112" spans="1:14" ht="43.5" customHeight="1">
      <c r="A112" s="23">
        <v>2</v>
      </c>
      <c r="B112" s="99" t="s">
        <v>259</v>
      </c>
      <c r="C112" s="100"/>
      <c r="D112" s="101"/>
      <c r="E112" s="39" t="s">
        <v>12</v>
      </c>
      <c r="F112" s="40"/>
      <c r="G112" s="41"/>
      <c r="H112" s="78" t="s">
        <v>269</v>
      </c>
      <c r="I112" s="95"/>
      <c r="J112" s="79"/>
      <c r="K112" s="80">
        <f>12540*105.4/100</f>
        <v>13217.16</v>
      </c>
      <c r="L112" s="81"/>
      <c r="M112" s="82"/>
      <c r="N112" s="8"/>
    </row>
    <row r="113" spans="1:14" ht="29.25" customHeight="1">
      <c r="A113" s="23">
        <v>3</v>
      </c>
      <c r="B113" s="99" t="s">
        <v>45</v>
      </c>
      <c r="C113" s="100"/>
      <c r="D113" s="101"/>
      <c r="E113" s="39" t="s">
        <v>12</v>
      </c>
      <c r="F113" s="40"/>
      <c r="G113" s="41"/>
      <c r="H113" s="78" t="s">
        <v>218</v>
      </c>
      <c r="I113" s="95"/>
      <c r="J113" s="79"/>
      <c r="K113" s="80">
        <f>7315*105.4/100</f>
        <v>7710.01</v>
      </c>
      <c r="L113" s="81"/>
      <c r="M113" s="82"/>
      <c r="N113" s="8"/>
    </row>
    <row r="114" spans="1:14" ht="46.15" customHeight="1">
      <c r="A114" s="23">
        <v>4</v>
      </c>
      <c r="B114" s="99" t="s">
        <v>156</v>
      </c>
      <c r="C114" s="100"/>
      <c r="D114" s="101"/>
      <c r="E114" s="39" t="s">
        <v>12</v>
      </c>
      <c r="F114" s="40"/>
      <c r="G114" s="41"/>
      <c r="H114" s="78" t="s">
        <v>40</v>
      </c>
      <c r="I114" s="95"/>
      <c r="J114" s="79"/>
      <c r="K114" s="122" t="s">
        <v>368</v>
      </c>
      <c r="L114" s="123"/>
      <c r="M114" s="124"/>
      <c r="N114" s="8"/>
    </row>
    <row r="115" spans="1:14" ht="30.4" customHeight="1">
      <c r="A115" s="55" t="s">
        <v>73</v>
      </c>
      <c r="B115" s="55"/>
      <c r="C115" s="55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8" t="s">
        <v>103</v>
      </c>
    </row>
    <row r="116" spans="1:14" ht="33" customHeight="1">
      <c r="A116" s="25" t="s">
        <v>2</v>
      </c>
      <c r="B116" s="68" t="s">
        <v>30</v>
      </c>
      <c r="C116" s="69"/>
      <c r="D116" s="69"/>
      <c r="E116" s="69"/>
      <c r="F116" s="69"/>
      <c r="G116" s="70"/>
      <c r="H116" s="87" t="s">
        <v>74</v>
      </c>
      <c r="I116" s="87"/>
      <c r="J116" s="87"/>
      <c r="K116" s="87" t="s">
        <v>41</v>
      </c>
      <c r="L116" s="87"/>
      <c r="M116" s="87"/>
      <c r="N116" s="8" t="s">
        <v>103</v>
      </c>
    </row>
    <row r="117" spans="1:14" ht="33" customHeight="1">
      <c r="A117" s="22">
        <v>1</v>
      </c>
      <c r="B117" s="49" t="s">
        <v>221</v>
      </c>
      <c r="C117" s="50"/>
      <c r="D117" s="50"/>
      <c r="E117" s="50"/>
      <c r="F117" s="50"/>
      <c r="G117" s="51"/>
      <c r="H117" s="42" t="s">
        <v>40</v>
      </c>
      <c r="I117" s="42"/>
      <c r="J117" s="42"/>
      <c r="K117" s="77" t="s">
        <v>380</v>
      </c>
      <c r="L117" s="77"/>
      <c r="M117" s="77"/>
      <c r="N117" s="8"/>
    </row>
    <row r="118" spans="1:14" ht="40.9" customHeight="1">
      <c r="A118" s="22">
        <v>2</v>
      </c>
      <c r="B118" s="49" t="s">
        <v>222</v>
      </c>
      <c r="C118" s="50"/>
      <c r="D118" s="50"/>
      <c r="E118" s="50"/>
      <c r="F118" s="50"/>
      <c r="G118" s="51"/>
      <c r="H118" s="42" t="s">
        <v>40</v>
      </c>
      <c r="I118" s="42"/>
      <c r="J118" s="42"/>
      <c r="K118" s="77" t="s">
        <v>381</v>
      </c>
      <c r="L118" s="77"/>
      <c r="M118" s="77"/>
      <c r="N118" s="8" t="s">
        <v>103</v>
      </c>
    </row>
    <row r="119" spans="1:14" ht="30.4" customHeight="1">
      <c r="A119" s="23">
        <v>3</v>
      </c>
      <c r="B119" s="59" t="s">
        <v>77</v>
      </c>
      <c r="C119" s="60"/>
      <c r="D119" s="60"/>
      <c r="E119" s="60"/>
      <c r="F119" s="60"/>
      <c r="G119" s="61"/>
      <c r="H119" s="78">
        <v>1</v>
      </c>
      <c r="I119" s="95"/>
      <c r="J119" s="79"/>
      <c r="K119" s="80">
        <f>106590*105.4/100</f>
        <v>112345.86</v>
      </c>
      <c r="L119" s="81"/>
      <c r="M119" s="82"/>
      <c r="N119" s="8" t="s">
        <v>103</v>
      </c>
    </row>
    <row r="120" spans="1:14" ht="61.15" customHeight="1">
      <c r="A120" s="22">
        <v>4</v>
      </c>
      <c r="B120" s="49" t="s">
        <v>75</v>
      </c>
      <c r="C120" s="50"/>
      <c r="D120" s="50"/>
      <c r="E120" s="50"/>
      <c r="F120" s="50"/>
      <c r="G120" s="51"/>
      <c r="H120" s="39" t="s">
        <v>40</v>
      </c>
      <c r="I120" s="40"/>
      <c r="J120" s="41"/>
      <c r="K120" s="125" t="s">
        <v>235</v>
      </c>
      <c r="L120" s="126"/>
      <c r="M120" s="127"/>
      <c r="N120" s="3"/>
    </row>
    <row r="121" spans="1:14" ht="32.25" customHeight="1">
      <c r="A121" s="22">
        <v>5</v>
      </c>
      <c r="B121" s="49" t="s">
        <v>76</v>
      </c>
      <c r="C121" s="50"/>
      <c r="D121" s="50"/>
      <c r="E121" s="50"/>
      <c r="F121" s="50"/>
      <c r="G121" s="51"/>
      <c r="H121" s="42" t="s">
        <v>40</v>
      </c>
      <c r="I121" s="42"/>
      <c r="J121" s="42"/>
      <c r="K121" s="77" t="s">
        <v>235</v>
      </c>
      <c r="L121" s="77"/>
      <c r="M121" s="77"/>
      <c r="N121" s="8"/>
    </row>
    <row r="122" spans="1:14" ht="36.75" customHeight="1">
      <c r="A122" s="23">
        <v>6</v>
      </c>
      <c r="B122" s="39" t="s">
        <v>176</v>
      </c>
      <c r="C122" s="40"/>
      <c r="D122" s="40"/>
      <c r="E122" s="40"/>
      <c r="F122" s="40"/>
      <c r="G122" s="41"/>
      <c r="H122" s="78" t="s">
        <v>40</v>
      </c>
      <c r="I122" s="95"/>
      <c r="J122" s="79"/>
      <c r="K122" s="122" t="s">
        <v>382</v>
      </c>
      <c r="L122" s="123"/>
      <c r="M122" s="124"/>
      <c r="N122" s="8"/>
    </row>
    <row r="123" spans="1:14" ht="32.25" customHeight="1">
      <c r="A123" s="23">
        <v>7</v>
      </c>
      <c r="B123" s="39" t="s">
        <v>326</v>
      </c>
      <c r="C123" s="40"/>
      <c r="D123" s="40"/>
      <c r="E123" s="40"/>
      <c r="F123" s="40"/>
      <c r="G123" s="41"/>
      <c r="H123" s="78">
        <v>1</v>
      </c>
      <c r="I123" s="95"/>
      <c r="J123" s="79"/>
      <c r="K123" s="122">
        <f>5225*105.4/100</f>
        <v>5507.15</v>
      </c>
      <c r="L123" s="123"/>
      <c r="M123" s="124"/>
      <c r="N123" s="8" t="s">
        <v>103</v>
      </c>
    </row>
    <row r="124" spans="1:14" ht="33.4" customHeight="1">
      <c r="A124" s="23">
        <v>8</v>
      </c>
      <c r="B124" s="39" t="s">
        <v>327</v>
      </c>
      <c r="C124" s="40"/>
      <c r="D124" s="40"/>
      <c r="E124" s="40"/>
      <c r="F124" s="40"/>
      <c r="G124" s="41"/>
      <c r="H124" s="78">
        <v>1</v>
      </c>
      <c r="I124" s="95"/>
      <c r="J124" s="79"/>
      <c r="K124" s="122">
        <f>6606.67*105.4/100</f>
        <v>6963.4301800000003</v>
      </c>
      <c r="L124" s="123"/>
      <c r="M124" s="124"/>
      <c r="N124" s="8"/>
    </row>
    <row r="125" spans="1:14" ht="91.5" customHeight="1">
      <c r="A125" s="23">
        <v>9</v>
      </c>
      <c r="B125" s="59" t="s">
        <v>328</v>
      </c>
      <c r="C125" s="60"/>
      <c r="D125" s="60"/>
      <c r="E125" s="60"/>
      <c r="F125" s="60"/>
      <c r="G125" s="61"/>
      <c r="H125" s="78">
        <v>1</v>
      </c>
      <c r="I125" s="95"/>
      <c r="J125" s="79"/>
      <c r="K125" s="122">
        <f>52250*105.4/100</f>
        <v>55071.5</v>
      </c>
      <c r="L125" s="123"/>
      <c r="M125" s="124"/>
      <c r="N125" s="8"/>
    </row>
    <row r="126" spans="1:14" ht="66.75" customHeight="1">
      <c r="A126" s="55" t="s">
        <v>123</v>
      </c>
      <c r="B126" s="55"/>
      <c r="C126" s="55"/>
      <c r="D126" s="55"/>
      <c r="E126" s="55"/>
      <c r="F126" s="55"/>
      <c r="G126" s="55"/>
      <c r="H126" s="55"/>
      <c r="I126" s="55"/>
      <c r="J126" s="55"/>
      <c r="K126" s="55"/>
      <c r="L126" s="55"/>
      <c r="M126" s="55"/>
      <c r="N126" s="8"/>
    </row>
    <row r="127" spans="1:14" ht="49.5" customHeight="1">
      <c r="A127" s="25" t="s">
        <v>2</v>
      </c>
      <c r="B127" s="68" t="s">
        <v>30</v>
      </c>
      <c r="C127" s="69"/>
      <c r="D127" s="69"/>
      <c r="E127" s="69"/>
      <c r="F127" s="69"/>
      <c r="G127" s="70"/>
      <c r="H127" s="87" t="s">
        <v>74</v>
      </c>
      <c r="I127" s="87"/>
      <c r="J127" s="87"/>
      <c r="K127" s="87" t="s">
        <v>224</v>
      </c>
      <c r="L127" s="87"/>
      <c r="M127" s="87"/>
      <c r="N127" s="8"/>
    </row>
    <row r="128" spans="1:14" ht="33.75" customHeight="1">
      <c r="A128" s="22">
        <v>1</v>
      </c>
      <c r="B128" s="49" t="s">
        <v>274</v>
      </c>
      <c r="C128" s="50"/>
      <c r="D128" s="50"/>
      <c r="E128" s="50"/>
      <c r="F128" s="50"/>
      <c r="G128" s="51"/>
      <c r="H128" s="42" t="s">
        <v>40</v>
      </c>
      <c r="I128" s="42"/>
      <c r="J128" s="42"/>
      <c r="K128" s="77">
        <f>130625*105.4/100</f>
        <v>137678.75</v>
      </c>
      <c r="L128" s="77"/>
      <c r="M128" s="77"/>
      <c r="N128" s="8"/>
    </row>
    <row r="129" spans="1:14" ht="50.25" customHeight="1">
      <c r="A129" s="55" t="s">
        <v>124</v>
      </c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8"/>
    </row>
    <row r="130" spans="1:14" ht="50.25" customHeight="1">
      <c r="A130" s="25" t="s">
        <v>2</v>
      </c>
      <c r="B130" s="68" t="s">
        <v>30</v>
      </c>
      <c r="C130" s="69"/>
      <c r="D130" s="69"/>
      <c r="E130" s="69"/>
      <c r="F130" s="69"/>
      <c r="G130" s="70"/>
      <c r="H130" s="87" t="s">
        <v>74</v>
      </c>
      <c r="I130" s="87"/>
      <c r="J130" s="87"/>
      <c r="K130" s="87" t="s">
        <v>33</v>
      </c>
      <c r="L130" s="87"/>
      <c r="M130" s="87"/>
      <c r="N130" s="8"/>
    </row>
    <row r="131" spans="1:14" ht="78" customHeight="1">
      <c r="A131" s="23">
        <v>1</v>
      </c>
      <c r="B131" s="59" t="s">
        <v>219</v>
      </c>
      <c r="C131" s="60"/>
      <c r="D131" s="60"/>
      <c r="E131" s="60"/>
      <c r="F131" s="60"/>
      <c r="G131" s="61"/>
      <c r="H131" s="78">
        <v>1</v>
      </c>
      <c r="I131" s="95"/>
      <c r="J131" s="79"/>
      <c r="K131" s="80">
        <f>88820.82*105.4/100</f>
        <v>93617.144280000008</v>
      </c>
      <c r="L131" s="81"/>
      <c r="M131" s="82"/>
      <c r="N131" s="8"/>
    </row>
    <row r="132" spans="1:14" ht="52.9" customHeight="1">
      <c r="A132" s="23">
        <v>2</v>
      </c>
      <c r="B132" s="59" t="s">
        <v>271</v>
      </c>
      <c r="C132" s="60"/>
      <c r="D132" s="60"/>
      <c r="E132" s="60"/>
      <c r="F132" s="60"/>
      <c r="G132" s="61"/>
      <c r="H132" s="78">
        <v>1</v>
      </c>
      <c r="I132" s="95"/>
      <c r="J132" s="79"/>
      <c r="K132" s="80">
        <f>106590*105.4/100</f>
        <v>112345.86</v>
      </c>
      <c r="L132" s="81"/>
      <c r="M132" s="82"/>
      <c r="N132" s="7"/>
    </row>
    <row r="133" spans="1:14" ht="31.5" customHeight="1">
      <c r="A133" s="22">
        <v>3</v>
      </c>
      <c r="B133" s="59" t="s">
        <v>220</v>
      </c>
      <c r="C133" s="60"/>
      <c r="D133" s="60"/>
      <c r="E133" s="60"/>
      <c r="F133" s="60"/>
      <c r="G133" s="61"/>
      <c r="H133" s="39">
        <v>1</v>
      </c>
      <c r="I133" s="40"/>
      <c r="J133" s="41"/>
      <c r="K133" s="77">
        <f>9350*105.4/100</f>
        <v>9854.9</v>
      </c>
      <c r="L133" s="77"/>
      <c r="M133" s="77"/>
      <c r="N133" s="8"/>
    </row>
    <row r="134" spans="1:14" ht="45" customHeight="1">
      <c r="A134" s="22">
        <v>4</v>
      </c>
      <c r="B134" s="59" t="s">
        <v>329</v>
      </c>
      <c r="C134" s="60"/>
      <c r="D134" s="60"/>
      <c r="E134" s="60"/>
      <c r="F134" s="60"/>
      <c r="G134" s="61"/>
      <c r="H134" s="39">
        <v>3</v>
      </c>
      <c r="I134" s="40"/>
      <c r="J134" s="41"/>
      <c r="K134" s="125">
        <f>58938*105.4/100</f>
        <v>62120.652000000002</v>
      </c>
      <c r="L134" s="126"/>
      <c r="M134" s="127"/>
      <c r="N134" s="8"/>
    </row>
    <row r="135" spans="1:14" ht="45.4" customHeight="1">
      <c r="A135" s="22">
        <v>5</v>
      </c>
      <c r="B135" s="59" t="s">
        <v>272</v>
      </c>
      <c r="C135" s="60"/>
      <c r="D135" s="60"/>
      <c r="E135" s="60"/>
      <c r="F135" s="60"/>
      <c r="G135" s="61"/>
      <c r="H135" s="39" t="s">
        <v>379</v>
      </c>
      <c r="I135" s="40"/>
      <c r="J135" s="41"/>
      <c r="K135" s="125">
        <f>3100*105.4/100</f>
        <v>3267.4</v>
      </c>
      <c r="L135" s="126"/>
      <c r="M135" s="127"/>
      <c r="N135" s="8">
        <f>3000+3980+1960+2358</f>
        <v>11298</v>
      </c>
    </row>
    <row r="136" spans="1:14" ht="80.25" customHeight="1">
      <c r="A136" s="22">
        <v>6</v>
      </c>
      <c r="B136" s="59" t="s">
        <v>226</v>
      </c>
      <c r="C136" s="60"/>
      <c r="D136" s="60"/>
      <c r="E136" s="60"/>
      <c r="F136" s="60"/>
      <c r="G136" s="61"/>
      <c r="H136" s="39" t="s">
        <v>40</v>
      </c>
      <c r="I136" s="40"/>
      <c r="J136" s="41"/>
      <c r="K136" s="125" t="s">
        <v>235</v>
      </c>
      <c r="L136" s="126"/>
      <c r="M136" s="127"/>
      <c r="N136" s="8"/>
    </row>
    <row r="137" spans="1:14" ht="49.5" customHeight="1">
      <c r="A137" s="30">
        <v>7</v>
      </c>
      <c r="B137" s="59" t="s">
        <v>387</v>
      </c>
      <c r="C137" s="60"/>
      <c r="D137" s="60"/>
      <c r="E137" s="60"/>
      <c r="F137" s="60"/>
      <c r="G137" s="61"/>
      <c r="H137" s="39" t="s">
        <v>379</v>
      </c>
      <c r="I137" s="40"/>
      <c r="J137" s="41"/>
      <c r="K137" s="125">
        <v>12325</v>
      </c>
      <c r="L137" s="126"/>
      <c r="M137" s="127"/>
      <c r="N137" s="8"/>
    </row>
    <row r="138" spans="1:14" ht="72.400000000000006" customHeight="1">
      <c r="A138" s="30">
        <v>8</v>
      </c>
      <c r="B138" s="59" t="s">
        <v>385</v>
      </c>
      <c r="C138" s="60"/>
      <c r="D138" s="60"/>
      <c r="E138" s="60"/>
      <c r="F138" s="60"/>
      <c r="G138" s="61"/>
      <c r="H138" s="39" t="s">
        <v>379</v>
      </c>
      <c r="I138" s="40"/>
      <c r="J138" s="41"/>
      <c r="K138" s="125">
        <v>3700</v>
      </c>
      <c r="L138" s="126"/>
      <c r="M138" s="127"/>
      <c r="N138" s="8"/>
    </row>
    <row r="139" spans="1:14" ht="72.400000000000006" customHeight="1">
      <c r="A139" s="30">
        <v>9</v>
      </c>
      <c r="B139" s="59" t="s">
        <v>386</v>
      </c>
      <c r="C139" s="60"/>
      <c r="D139" s="60"/>
      <c r="E139" s="60"/>
      <c r="F139" s="60"/>
      <c r="G139" s="61"/>
      <c r="H139" s="39" t="s">
        <v>384</v>
      </c>
      <c r="I139" s="40"/>
      <c r="J139" s="41"/>
      <c r="K139" s="125">
        <v>7900</v>
      </c>
      <c r="L139" s="126"/>
      <c r="M139" s="127"/>
      <c r="N139" s="8"/>
    </row>
    <row r="140" spans="1:14" ht="39" customHeight="1">
      <c r="A140" s="22">
        <v>10</v>
      </c>
      <c r="B140" s="59" t="s">
        <v>227</v>
      </c>
      <c r="C140" s="60"/>
      <c r="D140" s="60"/>
      <c r="E140" s="60"/>
      <c r="F140" s="60"/>
      <c r="G140" s="61"/>
      <c r="H140" s="78" t="s">
        <v>40</v>
      </c>
      <c r="I140" s="95"/>
      <c r="J140" s="79"/>
      <c r="K140" s="122" t="s">
        <v>369</v>
      </c>
      <c r="L140" s="123"/>
      <c r="M140" s="124"/>
      <c r="N140" s="8"/>
    </row>
    <row r="141" spans="1:14" ht="27.75" customHeight="1">
      <c r="A141" s="55" t="s">
        <v>161</v>
      </c>
      <c r="B141" s="55"/>
      <c r="C141" s="55"/>
      <c r="D141" s="55"/>
      <c r="E141" s="55"/>
      <c r="F141" s="55"/>
      <c r="G141" s="55"/>
      <c r="H141" s="55"/>
      <c r="I141" s="55"/>
      <c r="J141" s="55"/>
      <c r="K141" s="55"/>
      <c r="L141" s="55"/>
      <c r="M141" s="55"/>
      <c r="N141" s="8"/>
    </row>
    <row r="142" spans="1:14" s="2" customFormat="1" ht="28.5" customHeight="1">
      <c r="A142" s="25" t="s">
        <v>2</v>
      </c>
      <c r="B142" s="68" t="s">
        <v>30</v>
      </c>
      <c r="C142" s="69"/>
      <c r="D142" s="69"/>
      <c r="E142" s="69"/>
      <c r="F142" s="69"/>
      <c r="G142" s="70"/>
      <c r="H142" s="87" t="s">
        <v>14</v>
      </c>
      <c r="I142" s="87"/>
      <c r="J142" s="87"/>
      <c r="K142" s="87" t="s">
        <v>178</v>
      </c>
      <c r="L142" s="87"/>
      <c r="M142" s="87"/>
      <c r="N142" s="8"/>
    </row>
    <row r="143" spans="1:14" s="2" customFormat="1" ht="82.5" customHeight="1">
      <c r="A143" s="23">
        <v>1</v>
      </c>
      <c r="B143" s="59" t="s">
        <v>239</v>
      </c>
      <c r="C143" s="60"/>
      <c r="D143" s="60"/>
      <c r="E143" s="60"/>
      <c r="F143" s="60"/>
      <c r="G143" s="61"/>
      <c r="H143" s="78" t="s">
        <v>153</v>
      </c>
      <c r="I143" s="95"/>
      <c r="J143" s="79"/>
      <c r="K143" s="122" t="s">
        <v>173</v>
      </c>
      <c r="L143" s="123"/>
      <c r="M143" s="124"/>
      <c r="N143" s="8"/>
    </row>
    <row r="144" spans="1:14" s="2" customFormat="1" ht="66" customHeight="1">
      <c r="A144" s="23">
        <v>2</v>
      </c>
      <c r="B144" s="59" t="s">
        <v>238</v>
      </c>
      <c r="C144" s="60"/>
      <c r="D144" s="60"/>
      <c r="E144" s="60"/>
      <c r="F144" s="60"/>
      <c r="G144" s="61"/>
      <c r="H144" s="78" t="s">
        <v>40</v>
      </c>
      <c r="I144" s="95"/>
      <c r="J144" s="79"/>
      <c r="K144" s="80" t="s">
        <v>173</v>
      </c>
      <c r="L144" s="81"/>
      <c r="M144" s="82"/>
      <c r="N144" s="8"/>
    </row>
    <row r="145" spans="1:16" s="2" customFormat="1" ht="30" customHeight="1">
      <c r="A145" s="23">
        <v>3</v>
      </c>
      <c r="B145" s="59" t="s">
        <v>104</v>
      </c>
      <c r="C145" s="60"/>
      <c r="D145" s="60"/>
      <c r="E145" s="60"/>
      <c r="F145" s="60"/>
      <c r="G145" s="61"/>
      <c r="H145" s="78" t="s">
        <v>40</v>
      </c>
      <c r="I145" s="95"/>
      <c r="J145" s="79"/>
      <c r="K145" s="80">
        <v>20900</v>
      </c>
      <c r="L145" s="81"/>
      <c r="M145" s="82"/>
      <c r="N145" s="8"/>
    </row>
    <row r="146" spans="1:16" s="2" customFormat="1" ht="16.5" customHeight="1">
      <c r="A146" s="55" t="s">
        <v>78</v>
      </c>
      <c r="B146" s="55"/>
      <c r="C146" s="55"/>
      <c r="D146" s="55"/>
      <c r="E146" s="55"/>
      <c r="F146" s="55"/>
      <c r="G146" s="55"/>
      <c r="H146" s="55"/>
      <c r="I146" s="55"/>
      <c r="J146" s="55"/>
      <c r="K146" s="55"/>
      <c r="L146" s="55"/>
      <c r="M146" s="55"/>
      <c r="N146" s="8"/>
    </row>
    <row r="147" spans="1:16" s="2" customFormat="1" ht="19.5" customHeight="1">
      <c r="A147" s="28" t="s">
        <v>2</v>
      </c>
      <c r="B147" s="35" t="s">
        <v>63</v>
      </c>
      <c r="C147" s="36"/>
      <c r="D147" s="36"/>
      <c r="E147" s="36"/>
      <c r="F147" s="36"/>
      <c r="G147" s="36"/>
      <c r="H147" s="36"/>
      <c r="I147" s="36"/>
      <c r="J147" s="37"/>
      <c r="K147" s="128" t="s">
        <v>148</v>
      </c>
      <c r="L147" s="128"/>
      <c r="M147" s="128"/>
      <c r="N147" s="8"/>
    </row>
    <row r="148" spans="1:16" s="2" customFormat="1" ht="25.9" customHeight="1">
      <c r="A148" s="27">
        <v>1</v>
      </c>
      <c r="B148" s="59" t="s">
        <v>205</v>
      </c>
      <c r="C148" s="60"/>
      <c r="D148" s="60"/>
      <c r="E148" s="60"/>
      <c r="F148" s="60"/>
      <c r="G148" s="60"/>
      <c r="H148" s="60"/>
      <c r="I148" s="60"/>
      <c r="J148" s="61"/>
      <c r="K148" s="75">
        <v>1</v>
      </c>
      <c r="L148" s="75"/>
      <c r="M148" s="75"/>
      <c r="N148" s="3"/>
    </row>
    <row r="149" spans="1:16" ht="24.4" customHeight="1">
      <c r="A149" s="26">
        <v>2</v>
      </c>
      <c r="B149" s="59" t="s">
        <v>64</v>
      </c>
      <c r="C149" s="60"/>
      <c r="D149" s="60"/>
      <c r="E149" s="60"/>
      <c r="F149" s="60"/>
      <c r="G149" s="60"/>
      <c r="H149" s="60"/>
      <c r="I149" s="60"/>
      <c r="J149" s="61"/>
      <c r="K149" s="75">
        <v>1</v>
      </c>
      <c r="L149" s="75"/>
      <c r="M149" s="75"/>
      <c r="N149" s="3"/>
    </row>
    <row r="150" spans="1:16" ht="21" customHeight="1">
      <c r="A150" s="26">
        <v>3</v>
      </c>
      <c r="B150" s="59" t="s">
        <v>65</v>
      </c>
      <c r="C150" s="60"/>
      <c r="D150" s="60"/>
      <c r="E150" s="60"/>
      <c r="F150" s="60"/>
      <c r="G150" s="60"/>
      <c r="H150" s="60"/>
      <c r="I150" s="60"/>
      <c r="J150" s="61"/>
      <c r="K150" s="75">
        <v>1</v>
      </c>
      <c r="L150" s="75"/>
      <c r="M150" s="75"/>
      <c r="N150" s="3"/>
      <c r="O150" s="4"/>
      <c r="P150" s="4"/>
    </row>
    <row r="151" spans="1:16" ht="24.4" customHeight="1">
      <c r="A151" s="26">
        <v>4</v>
      </c>
      <c r="B151" s="59" t="s">
        <v>200</v>
      </c>
      <c r="C151" s="60"/>
      <c r="D151" s="60"/>
      <c r="E151" s="60"/>
      <c r="F151" s="60"/>
      <c r="G151" s="60"/>
      <c r="H151" s="60"/>
      <c r="I151" s="60"/>
      <c r="J151" s="61"/>
      <c r="K151" s="75">
        <v>1</v>
      </c>
      <c r="L151" s="75"/>
      <c r="M151" s="75"/>
      <c r="N151" s="3"/>
      <c r="O151" s="4"/>
      <c r="P151" s="4"/>
    </row>
    <row r="152" spans="1:16" ht="24" customHeight="1">
      <c r="A152" s="26">
        <v>5</v>
      </c>
      <c r="B152" s="59" t="s">
        <v>201</v>
      </c>
      <c r="C152" s="60"/>
      <c r="D152" s="60"/>
      <c r="E152" s="60"/>
      <c r="F152" s="60"/>
      <c r="G152" s="60"/>
      <c r="H152" s="60"/>
      <c r="I152" s="60"/>
      <c r="J152" s="61"/>
      <c r="K152" s="75">
        <v>1</v>
      </c>
      <c r="L152" s="75"/>
      <c r="M152" s="75"/>
      <c r="N152" s="3"/>
      <c r="O152" s="4"/>
      <c r="P152" s="4"/>
    </row>
    <row r="153" spans="1:16" ht="36" customHeight="1">
      <c r="A153" s="55" t="s">
        <v>79</v>
      </c>
      <c r="B153" s="55"/>
      <c r="C153" s="55"/>
      <c r="D153" s="55"/>
      <c r="E153" s="55"/>
      <c r="F153" s="55"/>
      <c r="G153" s="55"/>
      <c r="H153" s="55"/>
      <c r="I153" s="55"/>
      <c r="J153" s="55"/>
      <c r="K153" s="55"/>
      <c r="L153" s="55"/>
      <c r="M153" s="55"/>
      <c r="N153" s="3"/>
      <c r="O153" s="4"/>
      <c r="P153" s="4"/>
    </row>
    <row r="154" spans="1:16" ht="28.5" customHeight="1">
      <c r="A154" s="11" t="s">
        <v>2</v>
      </c>
      <c r="B154" s="68" t="s">
        <v>66</v>
      </c>
      <c r="C154" s="69"/>
      <c r="D154" s="69"/>
      <c r="E154" s="69"/>
      <c r="F154" s="69"/>
      <c r="G154" s="70"/>
      <c r="H154" s="56" t="s">
        <v>67</v>
      </c>
      <c r="I154" s="57"/>
      <c r="J154" s="58"/>
      <c r="K154" s="56" t="s">
        <v>177</v>
      </c>
      <c r="L154" s="57"/>
      <c r="M154" s="58"/>
      <c r="N154" s="3"/>
    </row>
    <row r="155" spans="1:16" ht="37.5" customHeight="1">
      <c r="A155" s="119" t="s">
        <v>19</v>
      </c>
      <c r="B155" s="120"/>
      <c r="C155" s="120"/>
      <c r="D155" s="120"/>
      <c r="E155" s="120"/>
      <c r="F155" s="120"/>
      <c r="G155" s="120"/>
      <c r="H155" s="120"/>
      <c r="I155" s="120"/>
      <c r="J155" s="120"/>
      <c r="K155" s="120"/>
      <c r="L155" s="120"/>
      <c r="M155" s="121"/>
      <c r="N155" s="3">
        <v>92</v>
      </c>
    </row>
    <row r="156" spans="1:16" ht="64.150000000000006" customHeight="1">
      <c r="A156" s="23">
        <v>1</v>
      </c>
      <c r="B156" s="59" t="s">
        <v>186</v>
      </c>
      <c r="C156" s="60"/>
      <c r="D156" s="60"/>
      <c r="E156" s="60"/>
      <c r="F156" s="60"/>
      <c r="G156" s="61"/>
      <c r="H156" s="78" t="s">
        <v>253</v>
      </c>
      <c r="I156" s="95"/>
      <c r="J156" s="79"/>
      <c r="K156" s="80" t="s">
        <v>235</v>
      </c>
      <c r="L156" s="81"/>
      <c r="M156" s="82"/>
      <c r="N156" s="3"/>
    </row>
    <row r="157" spans="1:16" ht="63" customHeight="1">
      <c r="A157" s="22">
        <v>2</v>
      </c>
      <c r="B157" s="49" t="s">
        <v>275</v>
      </c>
      <c r="C157" s="50"/>
      <c r="D157" s="50"/>
      <c r="E157" s="50"/>
      <c r="F157" s="50"/>
      <c r="G157" s="51"/>
      <c r="H157" s="39" t="s">
        <v>253</v>
      </c>
      <c r="I157" s="40"/>
      <c r="J157" s="41"/>
      <c r="K157" s="77" t="s">
        <v>235</v>
      </c>
      <c r="L157" s="77"/>
      <c r="M157" s="77"/>
      <c r="N157" s="3"/>
    </row>
    <row r="158" spans="1:16" ht="55.5" customHeight="1">
      <c r="A158" s="55" t="s">
        <v>293</v>
      </c>
      <c r="B158" s="55"/>
      <c r="C158" s="55"/>
      <c r="D158" s="55"/>
      <c r="E158" s="55"/>
      <c r="F158" s="55"/>
      <c r="G158" s="55"/>
      <c r="H158" s="55"/>
      <c r="I158" s="55"/>
      <c r="J158" s="55"/>
      <c r="K158" s="55"/>
      <c r="L158" s="55"/>
      <c r="M158" s="55"/>
      <c r="N158" s="3"/>
    </row>
    <row r="159" spans="1:16" ht="34.5" customHeight="1">
      <c r="A159" s="11" t="s">
        <v>2</v>
      </c>
      <c r="B159" s="68" t="s">
        <v>70</v>
      </c>
      <c r="C159" s="69"/>
      <c r="D159" s="69"/>
      <c r="E159" s="69"/>
      <c r="F159" s="69"/>
      <c r="G159" s="69"/>
      <c r="H159" s="69"/>
      <c r="I159" s="69"/>
      <c r="J159" s="70"/>
      <c r="K159" s="56" t="s">
        <v>152</v>
      </c>
      <c r="L159" s="57"/>
      <c r="M159" s="58"/>
      <c r="N159" s="9"/>
    </row>
    <row r="160" spans="1:16" ht="54.4" customHeight="1">
      <c r="A160" s="22">
        <v>1</v>
      </c>
      <c r="B160" s="59" t="s">
        <v>157</v>
      </c>
      <c r="C160" s="60"/>
      <c r="D160" s="60"/>
      <c r="E160" s="60"/>
      <c r="F160" s="60"/>
      <c r="G160" s="60"/>
      <c r="H160" s="60"/>
      <c r="I160" s="60"/>
      <c r="J160" s="61"/>
      <c r="K160" s="125">
        <f>8882.5*105.4/100</f>
        <v>9362.1550000000007</v>
      </c>
      <c r="L160" s="126"/>
      <c r="M160" s="127"/>
      <c r="N160" s="6"/>
    </row>
    <row r="161" spans="1:15" ht="33.75" customHeight="1">
      <c r="A161" s="55" t="s">
        <v>294</v>
      </c>
      <c r="B161" s="55"/>
      <c r="C161" s="55"/>
      <c r="D161" s="55"/>
      <c r="E161" s="55"/>
      <c r="F161" s="55"/>
      <c r="G161" s="55"/>
      <c r="H161" s="55"/>
      <c r="I161" s="55"/>
      <c r="J161" s="55"/>
      <c r="K161" s="55"/>
      <c r="L161" s="55"/>
      <c r="M161" s="55"/>
      <c r="N161" s="6" t="s">
        <v>103</v>
      </c>
    </row>
    <row r="162" spans="1:15" ht="37.5" customHeight="1">
      <c r="A162" s="11" t="s">
        <v>2</v>
      </c>
      <c r="B162" s="68" t="s">
        <v>71</v>
      </c>
      <c r="C162" s="69"/>
      <c r="D162" s="69"/>
      <c r="E162" s="69"/>
      <c r="F162" s="69"/>
      <c r="G162" s="69"/>
      <c r="H162" s="69"/>
      <c r="I162" s="69"/>
      <c r="J162" s="70"/>
      <c r="K162" s="56" t="s">
        <v>228</v>
      </c>
      <c r="L162" s="57"/>
      <c r="M162" s="58"/>
      <c r="N162" s="6"/>
    </row>
    <row r="163" spans="1:15" ht="46.9" customHeight="1">
      <c r="A163" s="22">
        <v>1</v>
      </c>
      <c r="B163" s="49" t="s">
        <v>40</v>
      </c>
      <c r="C163" s="50"/>
      <c r="D163" s="50"/>
      <c r="E163" s="50"/>
      <c r="F163" s="50"/>
      <c r="G163" s="50"/>
      <c r="H163" s="50"/>
      <c r="I163" s="50"/>
      <c r="J163" s="51"/>
      <c r="K163" s="130" t="s">
        <v>234</v>
      </c>
      <c r="L163" s="131"/>
      <c r="M163" s="132"/>
      <c r="N163" s="8"/>
    </row>
    <row r="164" spans="1:15" ht="34.5" customHeight="1">
      <c r="A164" s="129" t="s">
        <v>295</v>
      </c>
      <c r="B164" s="129"/>
      <c r="C164" s="129"/>
      <c r="D164" s="129"/>
      <c r="E164" s="129"/>
      <c r="F164" s="129"/>
      <c r="G164" s="129"/>
      <c r="H164" s="129"/>
      <c r="I164" s="129"/>
      <c r="J164" s="129"/>
      <c r="K164" s="129"/>
      <c r="L164" s="129"/>
      <c r="M164" s="129"/>
      <c r="N164" s="3"/>
    </row>
    <row r="165" spans="1:15" ht="27.75" customHeight="1">
      <c r="A165" s="11" t="s">
        <v>2</v>
      </c>
      <c r="B165" s="68" t="s">
        <v>68</v>
      </c>
      <c r="C165" s="69"/>
      <c r="D165" s="69"/>
      <c r="E165" s="69"/>
      <c r="F165" s="69"/>
      <c r="G165" s="70"/>
      <c r="H165" s="56" t="s">
        <v>69</v>
      </c>
      <c r="I165" s="57"/>
      <c r="J165" s="58"/>
      <c r="K165" s="56" t="s">
        <v>33</v>
      </c>
      <c r="L165" s="57"/>
      <c r="M165" s="58"/>
      <c r="N165" s="3"/>
    </row>
    <row r="166" spans="1:15" ht="26.25" customHeight="1">
      <c r="A166" s="22">
        <v>1</v>
      </c>
      <c r="B166" s="49" t="s">
        <v>80</v>
      </c>
      <c r="C166" s="50"/>
      <c r="D166" s="50"/>
      <c r="E166" s="50"/>
      <c r="F166" s="50"/>
      <c r="G166" s="51"/>
      <c r="H166" s="42">
        <v>1</v>
      </c>
      <c r="I166" s="42"/>
      <c r="J166" s="42"/>
      <c r="K166" s="77" t="s">
        <v>240</v>
      </c>
      <c r="L166" s="77"/>
      <c r="M166" s="77"/>
      <c r="N166" s="3"/>
    </row>
    <row r="167" spans="1:15" ht="46.15" customHeight="1">
      <c r="A167" s="22">
        <v>2</v>
      </c>
      <c r="B167" s="49" t="s">
        <v>276</v>
      </c>
      <c r="C167" s="50"/>
      <c r="D167" s="50"/>
      <c r="E167" s="50"/>
      <c r="F167" s="50"/>
      <c r="G167" s="51"/>
      <c r="H167" s="133" t="s">
        <v>277</v>
      </c>
      <c r="I167" s="133"/>
      <c r="J167" s="133"/>
      <c r="K167" s="77" t="s">
        <v>223</v>
      </c>
      <c r="L167" s="77"/>
      <c r="M167" s="77"/>
      <c r="N167" s="3"/>
    </row>
    <row r="168" spans="1:15" ht="34.9" customHeight="1">
      <c r="A168" s="22">
        <v>3</v>
      </c>
      <c r="B168" s="49" t="s">
        <v>158</v>
      </c>
      <c r="C168" s="50"/>
      <c r="D168" s="50"/>
      <c r="E168" s="50"/>
      <c r="F168" s="50"/>
      <c r="G168" s="51"/>
      <c r="H168" s="42" t="s">
        <v>159</v>
      </c>
      <c r="I168" s="42"/>
      <c r="J168" s="42"/>
      <c r="K168" s="134" t="s">
        <v>369</v>
      </c>
      <c r="L168" s="134"/>
      <c r="M168" s="134"/>
      <c r="N168" s="3"/>
    </row>
    <row r="169" spans="1:15" ht="23.25" customHeight="1">
      <c r="A169" s="55" t="s">
        <v>296</v>
      </c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  <c r="M169" s="55"/>
      <c r="N169" s="14"/>
      <c r="O169" s="12"/>
    </row>
    <row r="170" spans="1:15" ht="36" customHeight="1">
      <c r="A170" s="28" t="s">
        <v>2</v>
      </c>
      <c r="B170" s="35" t="s">
        <v>81</v>
      </c>
      <c r="C170" s="36"/>
      <c r="D170" s="36"/>
      <c r="E170" s="36"/>
      <c r="F170" s="36"/>
      <c r="G170" s="36"/>
      <c r="H170" s="36"/>
      <c r="I170" s="36"/>
      <c r="J170" s="37"/>
      <c r="K170" s="128" t="s">
        <v>149</v>
      </c>
      <c r="L170" s="128"/>
      <c r="M170" s="128"/>
      <c r="N170" s="14"/>
      <c r="O170" s="12"/>
    </row>
    <row r="171" spans="1:15" ht="33" customHeight="1">
      <c r="A171" s="22">
        <v>1</v>
      </c>
      <c r="B171" s="59" t="s">
        <v>40</v>
      </c>
      <c r="C171" s="60"/>
      <c r="D171" s="60"/>
      <c r="E171" s="60"/>
      <c r="F171" s="60"/>
      <c r="G171" s="60"/>
      <c r="H171" s="60"/>
      <c r="I171" s="60"/>
      <c r="J171" s="61"/>
      <c r="K171" s="77">
        <v>41800</v>
      </c>
      <c r="L171" s="77"/>
      <c r="M171" s="77"/>
      <c r="N171" s="14"/>
      <c r="O171" s="12"/>
    </row>
    <row r="172" spans="1:15" ht="33.75" customHeight="1">
      <c r="A172" s="55" t="s">
        <v>297</v>
      </c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14"/>
      <c r="O172" s="12"/>
    </row>
    <row r="173" spans="1:15" ht="32.25" customHeight="1">
      <c r="A173" s="25" t="s">
        <v>1</v>
      </c>
      <c r="B173" s="87" t="s">
        <v>30</v>
      </c>
      <c r="C173" s="87"/>
      <c r="D173" s="87"/>
      <c r="E173" s="87"/>
      <c r="F173" s="25" t="s">
        <v>29</v>
      </c>
      <c r="G173" s="68" t="s">
        <v>14</v>
      </c>
      <c r="H173" s="69"/>
      <c r="I173" s="70"/>
      <c r="J173" s="68" t="s">
        <v>137</v>
      </c>
      <c r="K173" s="70"/>
      <c r="L173" s="87" t="s">
        <v>28</v>
      </c>
      <c r="M173" s="87"/>
      <c r="N173" s="14"/>
      <c r="O173" s="12"/>
    </row>
    <row r="174" spans="1:15" ht="31.5" customHeight="1">
      <c r="A174" s="39" t="s">
        <v>254</v>
      </c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1"/>
      <c r="N174" s="14"/>
      <c r="O174" s="12"/>
    </row>
    <row r="175" spans="1:15" ht="32.25" customHeight="1">
      <c r="A175" s="22">
        <v>1</v>
      </c>
      <c r="B175" s="76" t="s">
        <v>47</v>
      </c>
      <c r="C175" s="76"/>
      <c r="D175" s="76"/>
      <c r="E175" s="76"/>
      <c r="F175" s="22" t="s">
        <v>12</v>
      </c>
      <c r="G175" s="76" t="s">
        <v>88</v>
      </c>
      <c r="H175" s="76"/>
      <c r="I175" s="76"/>
      <c r="J175" s="125">
        <f>18757.75*105.4/100</f>
        <v>19770.6685</v>
      </c>
      <c r="K175" s="127"/>
      <c r="L175" s="42" t="s">
        <v>84</v>
      </c>
      <c r="M175" s="42"/>
      <c r="N175" s="14"/>
      <c r="O175" s="12"/>
    </row>
    <row r="176" spans="1:15" ht="32.25" customHeight="1">
      <c r="A176" s="22">
        <v>2</v>
      </c>
      <c r="B176" s="49" t="s">
        <v>270</v>
      </c>
      <c r="C176" s="50"/>
      <c r="D176" s="50"/>
      <c r="E176" s="51"/>
      <c r="F176" s="22" t="s">
        <v>12</v>
      </c>
      <c r="G176" s="76" t="s">
        <v>88</v>
      </c>
      <c r="H176" s="76"/>
      <c r="I176" s="76"/>
      <c r="J176" s="125">
        <f>6578.27*105.4/100</f>
        <v>6933.4965800000009</v>
      </c>
      <c r="K176" s="127"/>
      <c r="L176" s="42" t="s">
        <v>84</v>
      </c>
      <c r="M176" s="42"/>
      <c r="N176" s="14"/>
      <c r="O176" s="12"/>
    </row>
    <row r="177" spans="1:15" ht="32.25" customHeight="1">
      <c r="A177" s="22">
        <v>3</v>
      </c>
      <c r="B177" s="49" t="s">
        <v>192</v>
      </c>
      <c r="C177" s="50"/>
      <c r="D177" s="50"/>
      <c r="E177" s="51"/>
      <c r="F177" s="22" t="s">
        <v>12</v>
      </c>
      <c r="G177" s="76" t="s">
        <v>89</v>
      </c>
      <c r="H177" s="76"/>
      <c r="I177" s="76"/>
      <c r="J177" s="125">
        <f>8725.75*105.4/100</f>
        <v>9196.9405000000006</v>
      </c>
      <c r="K177" s="127"/>
      <c r="L177" s="42" t="s">
        <v>84</v>
      </c>
      <c r="M177" s="42"/>
      <c r="N177" s="14"/>
      <c r="O177" s="12"/>
    </row>
    <row r="178" spans="1:15" ht="31.5" customHeight="1">
      <c r="A178" s="22">
        <v>4</v>
      </c>
      <c r="B178" s="49" t="s">
        <v>83</v>
      </c>
      <c r="C178" s="50"/>
      <c r="D178" s="50"/>
      <c r="E178" s="51"/>
      <c r="F178" s="22" t="s">
        <v>12</v>
      </c>
      <c r="G178" s="76" t="s">
        <v>88</v>
      </c>
      <c r="H178" s="76"/>
      <c r="I178" s="76"/>
      <c r="J178" s="52">
        <f>24447.55*105.4/100</f>
        <v>25767.717700000001</v>
      </c>
      <c r="K178" s="54"/>
      <c r="L178" s="42" t="s">
        <v>84</v>
      </c>
      <c r="M178" s="42"/>
      <c r="N178" s="3"/>
    </row>
    <row r="179" spans="1:15" ht="30" customHeight="1">
      <c r="A179" s="22">
        <v>5</v>
      </c>
      <c r="B179" s="49" t="s">
        <v>166</v>
      </c>
      <c r="C179" s="50"/>
      <c r="D179" s="50"/>
      <c r="E179" s="51"/>
      <c r="F179" s="22" t="s">
        <v>12</v>
      </c>
      <c r="G179" s="76" t="s">
        <v>206</v>
      </c>
      <c r="H179" s="76"/>
      <c r="I179" s="76"/>
      <c r="J179" s="125" t="s">
        <v>292</v>
      </c>
      <c r="K179" s="127"/>
      <c r="L179" s="42" t="s">
        <v>84</v>
      </c>
      <c r="M179" s="42"/>
      <c r="N179" s="3"/>
    </row>
    <row r="180" spans="1:15" ht="34.5" customHeight="1">
      <c r="A180" s="22">
        <v>6</v>
      </c>
      <c r="B180" s="49" t="s">
        <v>257</v>
      </c>
      <c r="C180" s="50"/>
      <c r="D180" s="50"/>
      <c r="E180" s="51"/>
      <c r="F180" s="22" t="s">
        <v>12</v>
      </c>
      <c r="G180" s="76" t="s">
        <v>89</v>
      </c>
      <c r="H180" s="76"/>
      <c r="I180" s="76"/>
      <c r="J180" s="125">
        <f>4023.25*105.4/100</f>
        <v>4240.5055000000002</v>
      </c>
      <c r="K180" s="127"/>
      <c r="L180" s="42" t="s">
        <v>84</v>
      </c>
      <c r="M180" s="42"/>
      <c r="N180" s="3"/>
    </row>
    <row r="181" spans="1:15" ht="32.25" customHeight="1">
      <c r="A181" s="22">
        <v>7</v>
      </c>
      <c r="B181" s="49" t="s">
        <v>207</v>
      </c>
      <c r="C181" s="50"/>
      <c r="D181" s="50"/>
      <c r="E181" s="51"/>
      <c r="F181" s="22" t="s">
        <v>12</v>
      </c>
      <c r="G181" s="76" t="s">
        <v>89</v>
      </c>
      <c r="H181" s="76"/>
      <c r="I181" s="76"/>
      <c r="J181" s="125">
        <f>8788.45*105.4/100</f>
        <v>9263.0263000000014</v>
      </c>
      <c r="K181" s="127"/>
      <c r="L181" s="42" t="s">
        <v>84</v>
      </c>
      <c r="M181" s="42"/>
      <c r="N181" s="3"/>
    </row>
    <row r="182" spans="1:15" ht="36.4" customHeight="1">
      <c r="A182" s="22">
        <v>8</v>
      </c>
      <c r="B182" s="49" t="s">
        <v>256</v>
      </c>
      <c r="C182" s="50"/>
      <c r="D182" s="50"/>
      <c r="E182" s="51"/>
      <c r="F182" s="22" t="s">
        <v>12</v>
      </c>
      <c r="G182" s="76" t="s">
        <v>88</v>
      </c>
      <c r="H182" s="76"/>
      <c r="I182" s="76"/>
      <c r="J182" s="125">
        <f>8882.5*105.4/100</f>
        <v>9362.1550000000007</v>
      </c>
      <c r="K182" s="127"/>
      <c r="L182" s="42" t="s">
        <v>84</v>
      </c>
      <c r="M182" s="42"/>
      <c r="N182" s="3"/>
    </row>
    <row r="183" spans="1:15" ht="33.75" customHeight="1">
      <c r="A183" s="39" t="s">
        <v>255</v>
      </c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1"/>
      <c r="N183" s="3"/>
    </row>
    <row r="184" spans="1:15" ht="36" customHeight="1">
      <c r="A184" s="22">
        <v>1</v>
      </c>
      <c r="B184" s="76" t="s">
        <v>46</v>
      </c>
      <c r="C184" s="76"/>
      <c r="D184" s="76"/>
      <c r="E184" s="76"/>
      <c r="F184" s="22" t="s">
        <v>12</v>
      </c>
      <c r="G184" s="76" t="s">
        <v>89</v>
      </c>
      <c r="H184" s="76"/>
      <c r="I184" s="76"/>
      <c r="J184" s="80" t="s">
        <v>292</v>
      </c>
      <c r="K184" s="82"/>
      <c r="L184" s="42" t="s">
        <v>84</v>
      </c>
      <c r="M184" s="42"/>
      <c r="N184" s="3"/>
    </row>
    <row r="185" spans="1:15" ht="31.9" customHeight="1">
      <c r="A185" s="22">
        <v>2</v>
      </c>
      <c r="B185" s="76" t="s">
        <v>192</v>
      </c>
      <c r="C185" s="76"/>
      <c r="D185" s="76"/>
      <c r="E185" s="76"/>
      <c r="F185" s="22" t="s">
        <v>12</v>
      </c>
      <c r="G185" s="76" t="s">
        <v>89</v>
      </c>
      <c r="H185" s="76"/>
      <c r="I185" s="76"/>
      <c r="J185" s="80" t="s">
        <v>292</v>
      </c>
      <c r="K185" s="82"/>
      <c r="L185" s="42" t="s">
        <v>84</v>
      </c>
      <c r="M185" s="42"/>
      <c r="N185" s="3"/>
    </row>
    <row r="186" spans="1:15" ht="30.75" customHeight="1">
      <c r="A186" s="22">
        <v>3</v>
      </c>
      <c r="B186" s="49" t="s">
        <v>167</v>
      </c>
      <c r="C186" s="50"/>
      <c r="D186" s="50"/>
      <c r="E186" s="51"/>
      <c r="F186" s="22" t="s">
        <v>12</v>
      </c>
      <c r="G186" s="76" t="s">
        <v>35</v>
      </c>
      <c r="H186" s="76"/>
      <c r="I186" s="76"/>
      <c r="J186" s="109">
        <v>10100</v>
      </c>
      <c r="K186" s="110"/>
      <c r="L186" s="42" t="s">
        <v>84</v>
      </c>
      <c r="M186" s="42"/>
      <c r="N186" s="3"/>
    </row>
    <row r="187" spans="1:15" ht="30" customHeight="1">
      <c r="A187" s="22">
        <v>4</v>
      </c>
      <c r="B187" s="49" t="s">
        <v>166</v>
      </c>
      <c r="C187" s="50"/>
      <c r="D187" s="50"/>
      <c r="E187" s="51"/>
      <c r="F187" s="22" t="s">
        <v>12</v>
      </c>
      <c r="G187" s="76" t="s">
        <v>89</v>
      </c>
      <c r="H187" s="76"/>
      <c r="I187" s="76"/>
      <c r="J187" s="80" t="s">
        <v>292</v>
      </c>
      <c r="K187" s="82"/>
      <c r="L187" s="42" t="s">
        <v>84</v>
      </c>
      <c r="M187" s="42"/>
      <c r="N187" s="3"/>
    </row>
    <row r="188" spans="1:15" ht="29.25" customHeight="1">
      <c r="A188" s="22">
        <v>5</v>
      </c>
      <c r="B188" s="76" t="s">
        <v>85</v>
      </c>
      <c r="C188" s="76"/>
      <c r="D188" s="76"/>
      <c r="E188" s="76"/>
      <c r="F188" s="22" t="s">
        <v>12</v>
      </c>
      <c r="G188" s="76" t="s">
        <v>88</v>
      </c>
      <c r="H188" s="76"/>
      <c r="I188" s="76"/>
      <c r="J188" s="80" t="s">
        <v>292</v>
      </c>
      <c r="K188" s="82"/>
      <c r="L188" s="42" t="s">
        <v>84</v>
      </c>
      <c r="M188" s="42"/>
      <c r="N188" s="3"/>
    </row>
    <row r="189" spans="1:15" ht="30.75" customHeight="1">
      <c r="A189" s="22">
        <v>6</v>
      </c>
      <c r="B189" s="76" t="s">
        <v>86</v>
      </c>
      <c r="C189" s="76"/>
      <c r="D189" s="76"/>
      <c r="E189" s="76"/>
      <c r="F189" s="22" t="s">
        <v>12</v>
      </c>
      <c r="G189" s="76" t="s">
        <v>88</v>
      </c>
      <c r="H189" s="76"/>
      <c r="I189" s="76"/>
      <c r="J189" s="80" t="s">
        <v>292</v>
      </c>
      <c r="K189" s="82"/>
      <c r="L189" s="42" t="s">
        <v>84</v>
      </c>
      <c r="M189" s="42"/>
      <c r="N189" s="3"/>
    </row>
    <row r="190" spans="1:15" ht="30" customHeight="1">
      <c r="A190" s="39" t="s">
        <v>258</v>
      </c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1"/>
      <c r="N190" s="3"/>
    </row>
    <row r="191" spans="1:15" ht="30" customHeight="1">
      <c r="A191" s="22">
        <v>1</v>
      </c>
      <c r="B191" s="76" t="s">
        <v>46</v>
      </c>
      <c r="C191" s="76"/>
      <c r="D191" s="76"/>
      <c r="E191" s="76"/>
      <c r="F191" s="22" t="s">
        <v>12</v>
      </c>
      <c r="G191" s="76" t="s">
        <v>35</v>
      </c>
      <c r="H191" s="76"/>
      <c r="I191" s="76"/>
      <c r="J191" s="125">
        <f>19337.73*105.4/100</f>
        <v>20381.967420000001</v>
      </c>
      <c r="K191" s="127"/>
      <c r="L191" s="42" t="s">
        <v>84</v>
      </c>
      <c r="M191" s="42"/>
      <c r="N191" s="3"/>
    </row>
    <row r="192" spans="1:15" ht="33.75" customHeight="1">
      <c r="A192" s="22">
        <v>2</v>
      </c>
      <c r="B192" s="76" t="s">
        <v>87</v>
      </c>
      <c r="C192" s="76"/>
      <c r="D192" s="76"/>
      <c r="E192" s="76"/>
      <c r="F192" s="22" t="s">
        <v>12</v>
      </c>
      <c r="G192" s="76" t="s">
        <v>35</v>
      </c>
      <c r="H192" s="76"/>
      <c r="I192" s="76"/>
      <c r="J192" s="125">
        <f>19337.73*105.4/100</f>
        <v>20381.967420000001</v>
      </c>
      <c r="K192" s="127"/>
      <c r="L192" s="42" t="s">
        <v>84</v>
      </c>
      <c r="M192" s="42"/>
      <c r="N192" s="3"/>
    </row>
    <row r="193" spans="1:14" ht="35.25" customHeight="1">
      <c r="A193" s="22">
        <v>3</v>
      </c>
      <c r="B193" s="76" t="s">
        <v>155</v>
      </c>
      <c r="C193" s="76"/>
      <c r="D193" s="76"/>
      <c r="E193" s="76"/>
      <c r="F193" s="22" t="s">
        <v>12</v>
      </c>
      <c r="G193" s="76" t="s">
        <v>35</v>
      </c>
      <c r="H193" s="76"/>
      <c r="I193" s="76"/>
      <c r="J193" s="52">
        <v>10100</v>
      </c>
      <c r="K193" s="54"/>
      <c r="L193" s="42" t="s">
        <v>84</v>
      </c>
      <c r="M193" s="42"/>
      <c r="N193" s="3"/>
    </row>
    <row r="194" spans="1:14" ht="30" customHeight="1">
      <c r="A194" s="22">
        <v>4</v>
      </c>
      <c r="B194" s="76" t="s">
        <v>154</v>
      </c>
      <c r="C194" s="76"/>
      <c r="D194" s="76"/>
      <c r="E194" s="76"/>
      <c r="F194" s="22" t="s">
        <v>12</v>
      </c>
      <c r="G194" s="76" t="s">
        <v>89</v>
      </c>
      <c r="H194" s="76"/>
      <c r="I194" s="76"/>
      <c r="J194" s="52" t="s">
        <v>292</v>
      </c>
      <c r="K194" s="54"/>
      <c r="L194" s="42" t="s">
        <v>84</v>
      </c>
      <c r="M194" s="42"/>
      <c r="N194" s="3"/>
    </row>
    <row r="195" spans="1:14" ht="35.25" customHeight="1">
      <c r="A195" s="22">
        <v>5</v>
      </c>
      <c r="B195" s="76" t="s">
        <v>85</v>
      </c>
      <c r="C195" s="76"/>
      <c r="D195" s="76"/>
      <c r="E195" s="76"/>
      <c r="F195" s="22" t="s">
        <v>12</v>
      </c>
      <c r="G195" s="76" t="s">
        <v>88</v>
      </c>
      <c r="H195" s="76"/>
      <c r="I195" s="76"/>
      <c r="J195" s="52">
        <f>11390.5*105.4/100</f>
        <v>12005.587</v>
      </c>
      <c r="K195" s="54"/>
      <c r="L195" s="42" t="s">
        <v>84</v>
      </c>
      <c r="M195" s="42"/>
      <c r="N195" s="3"/>
    </row>
    <row r="196" spans="1:14" ht="36" customHeight="1">
      <c r="A196" s="22">
        <v>6</v>
      </c>
      <c r="B196" s="76" t="s">
        <v>86</v>
      </c>
      <c r="C196" s="76"/>
      <c r="D196" s="76"/>
      <c r="E196" s="76"/>
      <c r="F196" s="22" t="s">
        <v>12</v>
      </c>
      <c r="G196" s="76" t="s">
        <v>314</v>
      </c>
      <c r="H196" s="76"/>
      <c r="I196" s="76"/>
      <c r="J196" s="125">
        <f>9064.33*105.4/100</f>
        <v>9553.803820000001</v>
      </c>
      <c r="K196" s="127"/>
      <c r="L196" s="42" t="s">
        <v>84</v>
      </c>
      <c r="M196" s="42"/>
      <c r="N196" s="3"/>
    </row>
    <row r="197" spans="1:14" ht="36.75" customHeight="1">
      <c r="A197" s="22">
        <v>7</v>
      </c>
      <c r="B197" s="76" t="s">
        <v>90</v>
      </c>
      <c r="C197" s="76"/>
      <c r="D197" s="76"/>
      <c r="E197" s="76"/>
      <c r="F197" s="22"/>
      <c r="G197" s="76" t="s">
        <v>111</v>
      </c>
      <c r="H197" s="76"/>
      <c r="I197" s="76"/>
      <c r="J197" s="125">
        <v>104500</v>
      </c>
      <c r="K197" s="127"/>
      <c r="L197" s="42"/>
      <c r="M197" s="42"/>
      <c r="N197" s="3"/>
    </row>
    <row r="198" spans="1:14" ht="46.5" customHeight="1">
      <c r="A198" s="55" t="s">
        <v>298</v>
      </c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8"/>
    </row>
    <row r="199" spans="1:14" ht="54" customHeight="1">
      <c r="A199" s="25" t="s">
        <v>1</v>
      </c>
      <c r="B199" s="87" t="s">
        <v>91</v>
      </c>
      <c r="C199" s="87"/>
      <c r="D199" s="87"/>
      <c r="E199" s="87"/>
      <c r="F199" s="25" t="s">
        <v>29</v>
      </c>
      <c r="G199" s="87" t="s">
        <v>14</v>
      </c>
      <c r="H199" s="87"/>
      <c r="I199" s="87"/>
      <c r="J199" s="68" t="s">
        <v>137</v>
      </c>
      <c r="K199" s="70"/>
      <c r="L199" s="87" t="s">
        <v>28</v>
      </c>
      <c r="M199" s="87"/>
      <c r="N199" s="8"/>
    </row>
    <row r="200" spans="1:14" ht="36.4" customHeight="1">
      <c r="A200" s="22">
        <v>1</v>
      </c>
      <c r="B200" s="76" t="s">
        <v>92</v>
      </c>
      <c r="C200" s="76"/>
      <c r="D200" s="76"/>
      <c r="E200" s="76"/>
      <c r="F200" s="22" t="s">
        <v>12</v>
      </c>
      <c r="G200" s="62" t="s">
        <v>40</v>
      </c>
      <c r="H200" s="63"/>
      <c r="I200" s="64"/>
      <c r="J200" s="125">
        <f>23620.33*105.4/100</f>
        <v>24895.827820000002</v>
      </c>
      <c r="K200" s="127"/>
      <c r="L200" s="42" t="s">
        <v>84</v>
      </c>
      <c r="M200" s="42"/>
      <c r="N200" s="8"/>
    </row>
    <row r="201" spans="1:14" ht="36" customHeight="1">
      <c r="A201" s="22">
        <v>2</v>
      </c>
      <c r="B201" s="76" t="s">
        <v>93</v>
      </c>
      <c r="C201" s="76"/>
      <c r="D201" s="76"/>
      <c r="E201" s="76"/>
      <c r="F201" s="22" t="s">
        <v>12</v>
      </c>
      <c r="G201" s="62" t="s">
        <v>40</v>
      </c>
      <c r="H201" s="63"/>
      <c r="I201" s="64"/>
      <c r="J201" s="125" t="s">
        <v>292</v>
      </c>
      <c r="K201" s="127"/>
      <c r="L201" s="42" t="s">
        <v>94</v>
      </c>
      <c r="M201" s="42"/>
      <c r="N201" s="3"/>
    </row>
    <row r="202" spans="1:14" ht="30.75" customHeight="1">
      <c r="A202" s="22">
        <v>3</v>
      </c>
      <c r="B202" s="76" t="s">
        <v>125</v>
      </c>
      <c r="C202" s="76"/>
      <c r="D202" s="76"/>
      <c r="E202" s="76"/>
      <c r="F202" s="22" t="s">
        <v>12</v>
      </c>
      <c r="G202" s="62" t="s">
        <v>40</v>
      </c>
      <c r="H202" s="63"/>
      <c r="I202" s="64"/>
      <c r="J202" s="125">
        <f>2090*105.4/100</f>
        <v>2202.86</v>
      </c>
      <c r="K202" s="127"/>
      <c r="L202" s="42" t="s">
        <v>13</v>
      </c>
      <c r="M202" s="42"/>
      <c r="N202" s="3"/>
    </row>
    <row r="203" spans="1:14" ht="45.4" customHeight="1">
      <c r="A203" s="22">
        <v>4</v>
      </c>
      <c r="B203" s="76" t="s">
        <v>163</v>
      </c>
      <c r="C203" s="76"/>
      <c r="D203" s="76"/>
      <c r="E203" s="76"/>
      <c r="F203" s="22" t="s">
        <v>12</v>
      </c>
      <c r="G203" s="42" t="s">
        <v>233</v>
      </c>
      <c r="H203" s="42"/>
      <c r="I203" s="42"/>
      <c r="J203" s="125">
        <f>5089.15*105.4/100</f>
        <v>5363.9641000000001</v>
      </c>
      <c r="K203" s="127"/>
      <c r="L203" s="42" t="s">
        <v>13</v>
      </c>
      <c r="M203" s="42"/>
      <c r="N203" s="3"/>
    </row>
    <row r="204" spans="1:14" ht="52.9" customHeight="1">
      <c r="A204" s="22">
        <v>5</v>
      </c>
      <c r="B204" s="76" t="s">
        <v>164</v>
      </c>
      <c r="C204" s="76"/>
      <c r="D204" s="76"/>
      <c r="E204" s="76"/>
      <c r="F204" s="22" t="s">
        <v>12</v>
      </c>
      <c r="G204" s="42" t="s">
        <v>233</v>
      </c>
      <c r="H204" s="42"/>
      <c r="I204" s="42"/>
      <c r="J204" s="125">
        <f>5225*105.4/100</f>
        <v>5507.15</v>
      </c>
      <c r="K204" s="127"/>
      <c r="L204" s="42" t="s">
        <v>13</v>
      </c>
      <c r="M204" s="42"/>
      <c r="N204" s="3"/>
    </row>
    <row r="205" spans="1:14" ht="34.5" customHeight="1">
      <c r="A205" s="22">
        <v>6</v>
      </c>
      <c r="B205" s="59" t="s">
        <v>246</v>
      </c>
      <c r="C205" s="60"/>
      <c r="D205" s="60"/>
      <c r="E205" s="61"/>
      <c r="F205" s="22" t="s">
        <v>12</v>
      </c>
      <c r="G205" s="62" t="s">
        <v>40</v>
      </c>
      <c r="H205" s="63"/>
      <c r="I205" s="64"/>
      <c r="J205" s="125">
        <f>18810*105.4/100</f>
        <v>19825.740000000002</v>
      </c>
      <c r="K205" s="127"/>
      <c r="L205" s="42" t="s">
        <v>13</v>
      </c>
      <c r="M205" s="42"/>
      <c r="N205" s="3">
        <f>15+1</f>
        <v>16</v>
      </c>
    </row>
    <row r="206" spans="1:14" ht="33" customHeight="1">
      <c r="A206" s="22">
        <v>7</v>
      </c>
      <c r="B206" s="76" t="s">
        <v>168</v>
      </c>
      <c r="C206" s="76"/>
      <c r="D206" s="76"/>
      <c r="E206" s="76"/>
      <c r="F206" s="22" t="s">
        <v>12</v>
      </c>
      <c r="G206" s="62" t="s">
        <v>40</v>
      </c>
      <c r="H206" s="63"/>
      <c r="I206" s="64"/>
      <c r="J206" s="125" t="s">
        <v>366</v>
      </c>
      <c r="K206" s="127"/>
      <c r="L206" s="42"/>
      <c r="M206" s="42"/>
      <c r="N206" s="3"/>
    </row>
    <row r="207" spans="1:14" ht="35.25" customHeight="1">
      <c r="A207" s="55" t="s">
        <v>299</v>
      </c>
      <c r="B207" s="55"/>
      <c r="C207" s="55"/>
      <c r="D207" s="55"/>
      <c r="E207" s="55"/>
      <c r="F207" s="55"/>
      <c r="G207" s="55"/>
      <c r="H207" s="55"/>
      <c r="I207" s="55"/>
      <c r="J207" s="55"/>
      <c r="K207" s="55"/>
      <c r="L207" s="55"/>
      <c r="M207" s="55"/>
      <c r="N207" s="3"/>
    </row>
    <row r="208" spans="1:14" ht="53.45" customHeight="1">
      <c r="A208" s="11" t="s">
        <v>2</v>
      </c>
      <c r="B208" s="56" t="s">
        <v>30</v>
      </c>
      <c r="C208" s="57"/>
      <c r="D208" s="58"/>
      <c r="E208" s="68" t="s">
        <v>10</v>
      </c>
      <c r="F208" s="69"/>
      <c r="G208" s="70"/>
      <c r="H208" s="56" t="s">
        <v>105</v>
      </c>
      <c r="I208" s="57"/>
      <c r="J208" s="58"/>
      <c r="K208" s="56" t="s">
        <v>136</v>
      </c>
      <c r="L208" s="57"/>
      <c r="M208" s="58"/>
      <c r="N208" s="3">
        <f>1500+10+21</f>
        <v>1531</v>
      </c>
    </row>
    <row r="209" spans="1:14" ht="32.25" customHeight="1">
      <c r="A209" s="39" t="s">
        <v>19</v>
      </c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1"/>
      <c r="N209" s="3"/>
    </row>
    <row r="210" spans="1:14" ht="36" customHeight="1">
      <c r="A210" s="22">
        <v>1</v>
      </c>
      <c r="B210" s="76" t="s">
        <v>120</v>
      </c>
      <c r="C210" s="76"/>
      <c r="D210" s="76"/>
      <c r="E210" s="39" t="s">
        <v>12</v>
      </c>
      <c r="F210" s="40"/>
      <c r="G210" s="41"/>
      <c r="H210" s="42" t="s">
        <v>106</v>
      </c>
      <c r="I210" s="42"/>
      <c r="J210" s="42"/>
      <c r="K210" s="77">
        <f>82.76*105.4/100</f>
        <v>87.229039999999998</v>
      </c>
      <c r="L210" s="77"/>
      <c r="M210" s="77"/>
      <c r="N210" s="3"/>
    </row>
    <row r="211" spans="1:14" ht="37.5" customHeight="1">
      <c r="A211" s="22">
        <f>A210+1</f>
        <v>2</v>
      </c>
      <c r="B211" s="76" t="s">
        <v>48</v>
      </c>
      <c r="C211" s="76"/>
      <c r="D211" s="76"/>
      <c r="E211" s="39" t="s">
        <v>52</v>
      </c>
      <c r="F211" s="40"/>
      <c r="G211" s="41"/>
      <c r="H211" s="42" t="s">
        <v>109</v>
      </c>
      <c r="I211" s="42"/>
      <c r="J211" s="42"/>
      <c r="K211" s="77">
        <f>179.74*105.4/100</f>
        <v>189.44596000000001</v>
      </c>
      <c r="L211" s="77"/>
      <c r="M211" s="77"/>
      <c r="N211" s="3"/>
    </row>
    <row r="212" spans="1:14" ht="36.75" customHeight="1">
      <c r="A212" s="22">
        <f t="shared" ref="A212:A275" si="0">A211+1</f>
        <v>3</v>
      </c>
      <c r="B212" s="76" t="s">
        <v>179</v>
      </c>
      <c r="C212" s="76"/>
      <c r="D212" s="76"/>
      <c r="E212" s="39" t="s">
        <v>12</v>
      </c>
      <c r="F212" s="40"/>
      <c r="G212" s="41"/>
      <c r="H212" s="42" t="s">
        <v>106</v>
      </c>
      <c r="I212" s="42"/>
      <c r="J212" s="42"/>
      <c r="K212" s="77">
        <f>76.06*105.4/100</f>
        <v>80.167240000000007</v>
      </c>
      <c r="L212" s="77"/>
      <c r="M212" s="77"/>
      <c r="N212" s="3"/>
    </row>
    <row r="213" spans="1:14" ht="39.75" customHeight="1">
      <c r="A213" s="22">
        <f t="shared" si="0"/>
        <v>4</v>
      </c>
      <c r="B213" s="76" t="s">
        <v>49</v>
      </c>
      <c r="C213" s="76"/>
      <c r="D213" s="76"/>
      <c r="E213" s="39" t="s">
        <v>50</v>
      </c>
      <c r="F213" s="40"/>
      <c r="G213" s="41"/>
      <c r="H213" s="42" t="s">
        <v>193</v>
      </c>
      <c r="I213" s="42"/>
      <c r="J213" s="42"/>
      <c r="K213" s="77">
        <f>1432.35*105.4/100</f>
        <v>1509.6968999999999</v>
      </c>
      <c r="L213" s="77"/>
      <c r="M213" s="77"/>
      <c r="N213" s="3"/>
    </row>
    <row r="214" spans="1:14" ht="36.75" customHeight="1">
      <c r="A214" s="22">
        <f t="shared" si="0"/>
        <v>5</v>
      </c>
      <c r="B214" s="76" t="s">
        <v>51</v>
      </c>
      <c r="C214" s="76"/>
      <c r="D214" s="76"/>
      <c r="E214" s="39" t="s">
        <v>50</v>
      </c>
      <c r="F214" s="40"/>
      <c r="G214" s="41"/>
      <c r="H214" s="42" t="s">
        <v>143</v>
      </c>
      <c r="I214" s="42"/>
      <c r="J214" s="42"/>
      <c r="K214" s="77">
        <f>340.81*105.4/100</f>
        <v>359.21374000000003</v>
      </c>
      <c r="L214" s="77"/>
      <c r="M214" s="77"/>
      <c r="N214" s="3"/>
    </row>
    <row r="215" spans="1:14" ht="43.15" customHeight="1">
      <c r="A215" s="22">
        <f t="shared" si="0"/>
        <v>6</v>
      </c>
      <c r="B215" s="76" t="s">
        <v>287</v>
      </c>
      <c r="C215" s="76"/>
      <c r="D215" s="76"/>
      <c r="E215" s="39" t="s">
        <v>52</v>
      </c>
      <c r="F215" s="40"/>
      <c r="G215" s="41"/>
      <c r="H215" s="42" t="s">
        <v>109</v>
      </c>
      <c r="I215" s="42"/>
      <c r="J215" s="42"/>
      <c r="K215" s="77">
        <f>44.94*105.4/100</f>
        <v>47.366760000000006</v>
      </c>
      <c r="L215" s="77"/>
      <c r="M215" s="77"/>
      <c r="N215" s="3"/>
    </row>
    <row r="216" spans="1:14" ht="39" customHeight="1">
      <c r="A216" s="22">
        <f t="shared" si="0"/>
        <v>7</v>
      </c>
      <c r="B216" s="76" t="s">
        <v>288</v>
      </c>
      <c r="C216" s="76"/>
      <c r="D216" s="76"/>
      <c r="E216" s="39" t="s">
        <v>52</v>
      </c>
      <c r="F216" s="40"/>
      <c r="G216" s="41"/>
      <c r="H216" s="42" t="s">
        <v>109</v>
      </c>
      <c r="I216" s="42"/>
      <c r="J216" s="42"/>
      <c r="K216" s="77">
        <f>51.41*105.4/100</f>
        <v>54.186139999999995</v>
      </c>
      <c r="L216" s="77"/>
      <c r="M216" s="77"/>
      <c r="N216" s="3">
        <f>40+2</f>
        <v>42</v>
      </c>
    </row>
    <row r="217" spans="1:14" ht="30" customHeight="1">
      <c r="A217" s="22">
        <f t="shared" si="0"/>
        <v>8</v>
      </c>
      <c r="B217" s="76" t="s">
        <v>289</v>
      </c>
      <c r="C217" s="76"/>
      <c r="D217" s="76"/>
      <c r="E217" s="39" t="s">
        <v>52</v>
      </c>
      <c r="F217" s="40"/>
      <c r="G217" s="41"/>
      <c r="H217" s="42" t="s">
        <v>146</v>
      </c>
      <c r="I217" s="42"/>
      <c r="J217" s="42"/>
      <c r="K217" s="77">
        <f>55.8*105.4/100</f>
        <v>58.813199999999995</v>
      </c>
      <c r="L217" s="77"/>
      <c r="M217" s="77"/>
      <c r="N217" s="3"/>
    </row>
    <row r="218" spans="1:14" ht="31.9" customHeight="1">
      <c r="A218" s="22">
        <f t="shared" si="0"/>
        <v>9</v>
      </c>
      <c r="B218" s="76" t="s">
        <v>211</v>
      </c>
      <c r="C218" s="76"/>
      <c r="D218" s="76"/>
      <c r="E218" s="39" t="s">
        <v>12</v>
      </c>
      <c r="F218" s="40"/>
      <c r="G218" s="41"/>
      <c r="H218" s="42" t="s">
        <v>140</v>
      </c>
      <c r="I218" s="42"/>
      <c r="J218" s="42"/>
      <c r="K218" s="77">
        <f>104.5*105.4/100</f>
        <v>110.14300000000001</v>
      </c>
      <c r="L218" s="77"/>
      <c r="M218" s="77"/>
      <c r="N218" s="3"/>
    </row>
    <row r="219" spans="1:14" ht="33.75" customHeight="1">
      <c r="A219" s="22">
        <f t="shared" si="0"/>
        <v>10</v>
      </c>
      <c r="B219" s="76" t="s">
        <v>311</v>
      </c>
      <c r="C219" s="76"/>
      <c r="D219" s="76"/>
      <c r="E219" s="39" t="s">
        <v>52</v>
      </c>
      <c r="F219" s="40"/>
      <c r="G219" s="41"/>
      <c r="H219" s="42" t="s">
        <v>109</v>
      </c>
      <c r="I219" s="42"/>
      <c r="J219" s="42"/>
      <c r="K219" s="77">
        <f>62.39*105.4/100</f>
        <v>65.759060000000005</v>
      </c>
      <c r="L219" s="77"/>
      <c r="M219" s="77"/>
      <c r="N219" s="3"/>
    </row>
    <row r="220" spans="1:14" ht="35.25" customHeight="1">
      <c r="A220" s="22">
        <v>11</v>
      </c>
      <c r="B220" s="76" t="s">
        <v>180</v>
      </c>
      <c r="C220" s="76"/>
      <c r="D220" s="76"/>
      <c r="E220" s="39" t="s">
        <v>12</v>
      </c>
      <c r="F220" s="40"/>
      <c r="G220" s="41"/>
      <c r="H220" s="42" t="s">
        <v>106</v>
      </c>
      <c r="I220" s="42"/>
      <c r="J220" s="42"/>
      <c r="K220" s="77">
        <f>783.74*105.4/100</f>
        <v>826.06196000000011</v>
      </c>
      <c r="L220" s="77"/>
      <c r="M220" s="77"/>
      <c r="N220" s="3"/>
    </row>
    <row r="221" spans="1:14" ht="34.5" customHeight="1">
      <c r="A221" s="22">
        <v>12</v>
      </c>
      <c r="B221" s="76" t="s">
        <v>375</v>
      </c>
      <c r="C221" s="76"/>
      <c r="D221" s="76"/>
      <c r="E221" s="39" t="s">
        <v>12</v>
      </c>
      <c r="F221" s="40"/>
      <c r="G221" s="41"/>
      <c r="H221" s="42" t="s">
        <v>106</v>
      </c>
      <c r="I221" s="42"/>
      <c r="J221" s="42"/>
      <c r="K221" s="77">
        <f>108.27*105.4/100</f>
        <v>114.11658</v>
      </c>
      <c r="L221" s="77"/>
      <c r="M221" s="77"/>
      <c r="N221" s="3"/>
    </row>
    <row r="222" spans="1:14" ht="34.5" customHeight="1">
      <c r="A222" s="29">
        <v>13</v>
      </c>
      <c r="B222" s="76" t="s">
        <v>187</v>
      </c>
      <c r="C222" s="76"/>
      <c r="D222" s="76"/>
      <c r="E222" s="39" t="s">
        <v>12</v>
      </c>
      <c r="F222" s="40"/>
      <c r="G222" s="41"/>
      <c r="H222" s="42" t="s">
        <v>139</v>
      </c>
      <c r="I222" s="42"/>
      <c r="J222" s="42"/>
      <c r="K222" s="125">
        <f>402.33*105.4/100</f>
        <v>424.05582000000004</v>
      </c>
      <c r="L222" s="126"/>
      <c r="M222" s="127"/>
      <c r="N222" s="3"/>
    </row>
    <row r="223" spans="1:14" ht="36.75" customHeight="1">
      <c r="A223" s="22">
        <v>14</v>
      </c>
      <c r="B223" s="76" t="s">
        <v>310</v>
      </c>
      <c r="C223" s="76"/>
      <c r="D223" s="76"/>
      <c r="E223" s="39" t="s">
        <v>52</v>
      </c>
      <c r="F223" s="40"/>
      <c r="G223" s="41"/>
      <c r="H223" s="42" t="s">
        <v>107</v>
      </c>
      <c r="I223" s="42"/>
      <c r="J223" s="42"/>
      <c r="K223" s="77">
        <f>58.55*105.4/100</f>
        <v>61.7117</v>
      </c>
      <c r="L223" s="77"/>
      <c r="M223" s="77"/>
      <c r="N223" s="3"/>
    </row>
    <row r="224" spans="1:14" ht="35.25" customHeight="1">
      <c r="A224" s="22">
        <v>15</v>
      </c>
      <c r="B224" s="59" t="s">
        <v>308</v>
      </c>
      <c r="C224" s="60"/>
      <c r="D224" s="61"/>
      <c r="E224" s="39" t="s">
        <v>52</v>
      </c>
      <c r="F224" s="40"/>
      <c r="G224" s="41"/>
      <c r="H224" s="42" t="s">
        <v>107</v>
      </c>
      <c r="I224" s="42"/>
      <c r="J224" s="42"/>
      <c r="K224" s="125">
        <f>170.35*105.4/100</f>
        <v>179.5489</v>
      </c>
      <c r="L224" s="126"/>
      <c r="M224" s="127"/>
      <c r="N224" s="3"/>
    </row>
    <row r="225" spans="1:14" ht="33.75" customHeight="1">
      <c r="A225" s="22">
        <v>16</v>
      </c>
      <c r="B225" s="59" t="s">
        <v>309</v>
      </c>
      <c r="C225" s="60"/>
      <c r="D225" s="61"/>
      <c r="E225" s="39" t="s">
        <v>52</v>
      </c>
      <c r="F225" s="40"/>
      <c r="G225" s="41"/>
      <c r="H225" s="42" t="s">
        <v>107</v>
      </c>
      <c r="I225" s="42"/>
      <c r="J225" s="42"/>
      <c r="K225" s="125">
        <f>272.73*105.4/100</f>
        <v>287.45742000000001</v>
      </c>
      <c r="L225" s="126"/>
      <c r="M225" s="127"/>
      <c r="N225" s="3"/>
    </row>
    <row r="226" spans="1:14" ht="52.15" customHeight="1">
      <c r="A226" s="22">
        <f t="shared" si="0"/>
        <v>17</v>
      </c>
      <c r="B226" s="76" t="s">
        <v>260</v>
      </c>
      <c r="C226" s="76"/>
      <c r="D226" s="76"/>
      <c r="E226" s="39" t="s">
        <v>52</v>
      </c>
      <c r="F226" s="40"/>
      <c r="G226" s="41"/>
      <c r="H226" s="42" t="s">
        <v>40</v>
      </c>
      <c r="I226" s="42"/>
      <c r="J226" s="42"/>
      <c r="K226" s="77">
        <f>75.13*105.4/100</f>
        <v>79.187020000000004</v>
      </c>
      <c r="L226" s="77"/>
      <c r="M226" s="77"/>
      <c r="N226" s="3"/>
    </row>
    <row r="227" spans="1:14" ht="50.45" customHeight="1">
      <c r="A227" s="22">
        <f t="shared" si="0"/>
        <v>18</v>
      </c>
      <c r="B227" s="76" t="s">
        <v>188</v>
      </c>
      <c r="C227" s="76"/>
      <c r="D227" s="76"/>
      <c r="E227" s="39" t="s">
        <v>12</v>
      </c>
      <c r="F227" s="40"/>
      <c r="G227" s="41"/>
      <c r="H227" s="42" t="s">
        <v>209</v>
      </c>
      <c r="I227" s="42"/>
      <c r="J227" s="42"/>
      <c r="K227" s="77">
        <f>201.69*105.4/100</f>
        <v>212.58126000000001</v>
      </c>
      <c r="L227" s="77"/>
      <c r="M227" s="77"/>
      <c r="N227" s="3"/>
    </row>
    <row r="228" spans="1:14" ht="36" customHeight="1">
      <c r="A228" s="22">
        <f t="shared" si="0"/>
        <v>19</v>
      </c>
      <c r="B228" s="76" t="s">
        <v>189</v>
      </c>
      <c r="C228" s="76"/>
      <c r="D228" s="76"/>
      <c r="E228" s="39" t="s">
        <v>12</v>
      </c>
      <c r="F228" s="40"/>
      <c r="G228" s="41"/>
      <c r="H228" s="42" t="s">
        <v>106</v>
      </c>
      <c r="I228" s="42"/>
      <c r="J228" s="42"/>
      <c r="K228" s="77">
        <f>89.98*105.4/100</f>
        <v>94.838920000000016</v>
      </c>
      <c r="L228" s="77"/>
      <c r="M228" s="77"/>
      <c r="N228" s="3"/>
    </row>
    <row r="229" spans="1:14" ht="31.9" customHeight="1">
      <c r="A229" s="22">
        <f t="shared" si="0"/>
        <v>20</v>
      </c>
      <c r="B229" s="76" t="s">
        <v>151</v>
      </c>
      <c r="C229" s="76"/>
      <c r="D229" s="76"/>
      <c r="E229" s="39" t="s">
        <v>12</v>
      </c>
      <c r="F229" s="40"/>
      <c r="G229" s="41"/>
      <c r="H229" s="42" t="s">
        <v>40</v>
      </c>
      <c r="I229" s="42"/>
      <c r="J229" s="42"/>
      <c r="K229" s="77">
        <f>1358.5*105.4/100</f>
        <v>1431.8589999999999</v>
      </c>
      <c r="L229" s="77"/>
      <c r="M229" s="77"/>
      <c r="N229" s="3"/>
    </row>
    <row r="230" spans="1:14" ht="31.9" customHeight="1">
      <c r="A230" s="22">
        <f t="shared" si="0"/>
        <v>21</v>
      </c>
      <c r="B230" s="76" t="s">
        <v>95</v>
      </c>
      <c r="C230" s="76"/>
      <c r="D230" s="76"/>
      <c r="E230" s="39" t="s">
        <v>12</v>
      </c>
      <c r="F230" s="40"/>
      <c r="G230" s="41"/>
      <c r="H230" s="42" t="s">
        <v>133</v>
      </c>
      <c r="I230" s="42"/>
      <c r="J230" s="42"/>
      <c r="K230" s="77">
        <f>22.99*105.4/100</f>
        <v>24.231460000000002</v>
      </c>
      <c r="L230" s="77"/>
      <c r="M230" s="77"/>
      <c r="N230" s="3"/>
    </row>
    <row r="231" spans="1:14" ht="31.9" customHeight="1">
      <c r="A231" s="22">
        <f t="shared" si="0"/>
        <v>22</v>
      </c>
      <c r="B231" s="76" t="s">
        <v>53</v>
      </c>
      <c r="C231" s="76"/>
      <c r="D231" s="76"/>
      <c r="E231" s="39" t="s">
        <v>12</v>
      </c>
      <c r="F231" s="40"/>
      <c r="G231" s="41"/>
      <c r="H231" s="42" t="s">
        <v>106</v>
      </c>
      <c r="I231" s="42"/>
      <c r="J231" s="42"/>
      <c r="K231" s="77">
        <f>147.35*105.4/100</f>
        <v>155.30690000000001</v>
      </c>
      <c r="L231" s="77"/>
      <c r="M231" s="77"/>
      <c r="N231" s="3"/>
    </row>
    <row r="232" spans="1:14" ht="31.9" customHeight="1">
      <c r="A232" s="22">
        <f t="shared" si="0"/>
        <v>23</v>
      </c>
      <c r="B232" s="76" t="s">
        <v>304</v>
      </c>
      <c r="C232" s="76"/>
      <c r="D232" s="76"/>
      <c r="E232" s="39" t="s">
        <v>52</v>
      </c>
      <c r="F232" s="40"/>
      <c r="G232" s="41"/>
      <c r="H232" s="42" t="s">
        <v>106</v>
      </c>
      <c r="I232" s="42"/>
      <c r="J232" s="42"/>
      <c r="K232" s="77">
        <f>156.75*105.4/100</f>
        <v>165.21450000000002</v>
      </c>
      <c r="L232" s="77"/>
      <c r="M232" s="77"/>
      <c r="N232" s="3"/>
    </row>
    <row r="233" spans="1:14" ht="31.9" customHeight="1">
      <c r="A233" s="22">
        <f t="shared" si="0"/>
        <v>24</v>
      </c>
      <c r="B233" s="76" t="s">
        <v>96</v>
      </c>
      <c r="C233" s="76"/>
      <c r="D233" s="76"/>
      <c r="E233" s="39" t="s">
        <v>12</v>
      </c>
      <c r="F233" s="40"/>
      <c r="G233" s="41"/>
      <c r="H233" s="42" t="s">
        <v>107</v>
      </c>
      <c r="I233" s="42"/>
      <c r="J233" s="42"/>
      <c r="K233" s="77">
        <f>75.87*105.4/100</f>
        <v>79.966980000000007</v>
      </c>
      <c r="L233" s="77"/>
      <c r="M233" s="77"/>
      <c r="N233" s="3"/>
    </row>
    <row r="234" spans="1:14" ht="31.9" customHeight="1">
      <c r="A234" s="22">
        <f t="shared" si="0"/>
        <v>25</v>
      </c>
      <c r="B234" s="76" t="s">
        <v>190</v>
      </c>
      <c r="C234" s="76"/>
      <c r="D234" s="76"/>
      <c r="E234" s="39" t="s">
        <v>12</v>
      </c>
      <c r="F234" s="40"/>
      <c r="G234" s="41"/>
      <c r="H234" s="42" t="s">
        <v>107</v>
      </c>
      <c r="I234" s="42"/>
      <c r="J234" s="42"/>
      <c r="K234" s="77">
        <f>97.71*105.4/100</f>
        <v>102.98634</v>
      </c>
      <c r="L234" s="77"/>
      <c r="M234" s="77"/>
      <c r="N234" s="3"/>
    </row>
    <row r="235" spans="1:14" ht="36" customHeight="1">
      <c r="A235" s="22">
        <f t="shared" si="0"/>
        <v>26</v>
      </c>
      <c r="B235" s="76" t="s">
        <v>126</v>
      </c>
      <c r="C235" s="76"/>
      <c r="D235" s="76"/>
      <c r="E235" s="39" t="s">
        <v>12</v>
      </c>
      <c r="F235" s="40"/>
      <c r="G235" s="41"/>
      <c r="H235" s="42" t="s">
        <v>109</v>
      </c>
      <c r="I235" s="42"/>
      <c r="J235" s="42"/>
      <c r="K235" s="77">
        <f>64.16*105.4/100</f>
        <v>67.624639999999999</v>
      </c>
      <c r="L235" s="77"/>
      <c r="M235" s="77"/>
      <c r="N235" s="3"/>
    </row>
    <row r="236" spans="1:14" ht="36" customHeight="1">
      <c r="A236" s="22">
        <f t="shared" si="0"/>
        <v>27</v>
      </c>
      <c r="B236" s="76" t="s">
        <v>169</v>
      </c>
      <c r="C236" s="76"/>
      <c r="D236" s="76"/>
      <c r="E236" s="39" t="s">
        <v>12</v>
      </c>
      <c r="F236" s="40"/>
      <c r="G236" s="41"/>
      <c r="H236" s="42" t="s">
        <v>107</v>
      </c>
      <c r="I236" s="42"/>
      <c r="J236" s="42"/>
      <c r="K236" s="77">
        <f>65.84*105.4/100</f>
        <v>69.395360000000011</v>
      </c>
      <c r="L236" s="77"/>
      <c r="M236" s="77"/>
      <c r="N236" s="3"/>
    </row>
    <row r="237" spans="1:14" ht="36" customHeight="1">
      <c r="A237" s="22">
        <f t="shared" si="0"/>
        <v>28</v>
      </c>
      <c r="B237" s="76" t="s">
        <v>108</v>
      </c>
      <c r="C237" s="76"/>
      <c r="D237" s="76"/>
      <c r="E237" s="39" t="s">
        <v>12</v>
      </c>
      <c r="F237" s="40"/>
      <c r="G237" s="41"/>
      <c r="H237" s="42" t="s">
        <v>214</v>
      </c>
      <c r="I237" s="42"/>
      <c r="J237" s="42"/>
      <c r="K237" s="77">
        <f>213.58*105.4/100</f>
        <v>225.11332000000002</v>
      </c>
      <c r="L237" s="77"/>
      <c r="M237" s="77"/>
      <c r="N237" s="3"/>
    </row>
    <row r="238" spans="1:14" ht="30.75" customHeight="1">
      <c r="A238" s="22">
        <f t="shared" si="0"/>
        <v>29</v>
      </c>
      <c r="B238" s="76" t="s">
        <v>305</v>
      </c>
      <c r="C238" s="76"/>
      <c r="D238" s="76"/>
      <c r="E238" s="39" t="s">
        <v>52</v>
      </c>
      <c r="F238" s="40"/>
      <c r="G238" s="41"/>
      <c r="H238" s="42" t="s">
        <v>214</v>
      </c>
      <c r="I238" s="42"/>
      <c r="J238" s="42"/>
      <c r="K238" s="77">
        <f>95.82*105.4/100</f>
        <v>100.99428</v>
      </c>
      <c r="L238" s="77"/>
      <c r="M238" s="77"/>
      <c r="N238" s="3"/>
    </row>
    <row r="239" spans="1:14" ht="35.25" customHeight="1">
      <c r="A239" s="22">
        <f t="shared" si="0"/>
        <v>30</v>
      </c>
      <c r="B239" s="76" t="s">
        <v>279</v>
      </c>
      <c r="C239" s="76"/>
      <c r="D239" s="76"/>
      <c r="E239" s="39" t="s">
        <v>12</v>
      </c>
      <c r="F239" s="40"/>
      <c r="G239" s="41"/>
      <c r="H239" s="42" t="s">
        <v>106</v>
      </c>
      <c r="I239" s="42"/>
      <c r="J239" s="42"/>
      <c r="K239" s="77">
        <f>731.5*105.4/100</f>
        <v>771.00100000000009</v>
      </c>
      <c r="L239" s="77"/>
      <c r="M239" s="77"/>
      <c r="N239" s="3"/>
    </row>
    <row r="240" spans="1:14" ht="36.75" customHeight="1">
      <c r="A240" s="22">
        <f t="shared" si="0"/>
        <v>31</v>
      </c>
      <c r="B240" s="76" t="s">
        <v>170</v>
      </c>
      <c r="C240" s="76"/>
      <c r="D240" s="76"/>
      <c r="E240" s="39" t="s">
        <v>12</v>
      </c>
      <c r="F240" s="40"/>
      <c r="G240" s="41"/>
      <c r="H240" s="42" t="s">
        <v>306</v>
      </c>
      <c r="I240" s="42"/>
      <c r="J240" s="42"/>
      <c r="K240" s="77">
        <f>3.07*105.4/100</f>
        <v>3.2357799999999997</v>
      </c>
      <c r="L240" s="77"/>
      <c r="M240" s="77"/>
      <c r="N240" s="3"/>
    </row>
    <row r="241" spans="1:14" ht="34.5" customHeight="1">
      <c r="A241" s="22">
        <f t="shared" si="0"/>
        <v>32</v>
      </c>
      <c r="B241" s="76" t="s">
        <v>267</v>
      </c>
      <c r="C241" s="76"/>
      <c r="D241" s="76"/>
      <c r="E241" s="39" t="s">
        <v>12</v>
      </c>
      <c r="F241" s="40"/>
      <c r="G241" s="41"/>
      <c r="H241" s="42" t="s">
        <v>307</v>
      </c>
      <c r="I241" s="42"/>
      <c r="J241" s="42"/>
      <c r="K241" s="77">
        <f>8.15*105.4/100</f>
        <v>8.5901000000000014</v>
      </c>
      <c r="L241" s="77"/>
      <c r="M241" s="77"/>
      <c r="N241" s="3"/>
    </row>
    <row r="242" spans="1:14" ht="33.75" customHeight="1">
      <c r="A242" s="22">
        <f t="shared" si="0"/>
        <v>33</v>
      </c>
      <c r="B242" s="49" t="s">
        <v>268</v>
      </c>
      <c r="C242" s="50"/>
      <c r="D242" s="51"/>
      <c r="E242" s="39" t="s">
        <v>12</v>
      </c>
      <c r="F242" s="40"/>
      <c r="G242" s="41"/>
      <c r="H242" s="39" t="s">
        <v>144</v>
      </c>
      <c r="I242" s="40"/>
      <c r="J242" s="41"/>
      <c r="K242" s="125">
        <f>14*105.4/100</f>
        <v>14.756000000000002</v>
      </c>
      <c r="L242" s="126"/>
      <c r="M242" s="127"/>
      <c r="N242" s="3"/>
    </row>
    <row r="243" spans="1:14" ht="38.25" customHeight="1">
      <c r="A243" s="22">
        <f t="shared" si="0"/>
        <v>34</v>
      </c>
      <c r="B243" s="49" t="s">
        <v>281</v>
      </c>
      <c r="C243" s="50"/>
      <c r="D243" s="51"/>
      <c r="E243" s="39" t="s">
        <v>12</v>
      </c>
      <c r="F243" s="40"/>
      <c r="G243" s="41"/>
      <c r="H243" s="39" t="s">
        <v>144</v>
      </c>
      <c r="I243" s="40"/>
      <c r="J243" s="41"/>
      <c r="K243" s="125">
        <f>97.71*105.4/100</f>
        <v>102.98634</v>
      </c>
      <c r="L243" s="126"/>
      <c r="M243" s="127"/>
      <c r="N243" s="3"/>
    </row>
    <row r="244" spans="1:14" ht="32.25" customHeight="1">
      <c r="A244" s="22">
        <f t="shared" si="0"/>
        <v>35</v>
      </c>
      <c r="B244" s="76" t="s">
        <v>191</v>
      </c>
      <c r="C244" s="76"/>
      <c r="D244" s="76"/>
      <c r="E244" s="39" t="s">
        <v>12</v>
      </c>
      <c r="F244" s="40"/>
      <c r="G244" s="41"/>
      <c r="H244" s="42" t="s">
        <v>107</v>
      </c>
      <c r="I244" s="42"/>
      <c r="J244" s="42"/>
      <c r="K244" s="77">
        <f>52.46*105.4/100</f>
        <v>55.292840000000005</v>
      </c>
      <c r="L244" s="77"/>
      <c r="M244" s="77"/>
      <c r="N244" s="3"/>
    </row>
    <row r="245" spans="1:14" ht="34.5" customHeight="1">
      <c r="A245" s="22">
        <f t="shared" si="0"/>
        <v>36</v>
      </c>
      <c r="B245" s="76" t="s">
        <v>141</v>
      </c>
      <c r="C245" s="76"/>
      <c r="D245" s="76"/>
      <c r="E245" s="39" t="s">
        <v>12</v>
      </c>
      <c r="F245" s="40"/>
      <c r="G245" s="41"/>
      <c r="H245" s="42" t="s">
        <v>131</v>
      </c>
      <c r="I245" s="42"/>
      <c r="J245" s="42"/>
      <c r="K245" s="77">
        <f>98.23*105.4/100</f>
        <v>103.53442000000001</v>
      </c>
      <c r="L245" s="77"/>
      <c r="M245" s="77"/>
      <c r="N245" s="3"/>
    </row>
    <row r="246" spans="1:14" ht="33.75" customHeight="1">
      <c r="A246" s="22">
        <f t="shared" si="0"/>
        <v>37</v>
      </c>
      <c r="B246" s="76" t="s">
        <v>54</v>
      </c>
      <c r="C246" s="76"/>
      <c r="D246" s="76"/>
      <c r="E246" s="39" t="s">
        <v>12</v>
      </c>
      <c r="F246" s="40"/>
      <c r="G246" s="41"/>
      <c r="H246" s="42" t="s">
        <v>107</v>
      </c>
      <c r="I246" s="42"/>
      <c r="J246" s="42"/>
      <c r="K246" s="77">
        <f>26.02*105.4/100</f>
        <v>27.425080000000001</v>
      </c>
      <c r="L246" s="77"/>
      <c r="M246" s="77"/>
      <c r="N246" s="3"/>
    </row>
    <row r="247" spans="1:14" ht="33" customHeight="1">
      <c r="A247" s="22">
        <f t="shared" si="0"/>
        <v>38</v>
      </c>
      <c r="B247" s="76" t="s">
        <v>97</v>
      </c>
      <c r="C247" s="76"/>
      <c r="D247" s="76"/>
      <c r="E247" s="39" t="s">
        <v>12</v>
      </c>
      <c r="F247" s="40"/>
      <c r="G247" s="41"/>
      <c r="H247" s="42" t="s">
        <v>142</v>
      </c>
      <c r="I247" s="42"/>
      <c r="J247" s="42"/>
      <c r="K247" s="77">
        <f>38.25*105.4/100</f>
        <v>40.3155</v>
      </c>
      <c r="L247" s="77"/>
      <c r="M247" s="77"/>
      <c r="N247" s="3"/>
    </row>
    <row r="248" spans="1:14" ht="35.25" customHeight="1">
      <c r="A248" s="22">
        <f t="shared" si="0"/>
        <v>39</v>
      </c>
      <c r="B248" s="76" t="s">
        <v>290</v>
      </c>
      <c r="C248" s="76"/>
      <c r="D248" s="76"/>
      <c r="E248" s="39" t="s">
        <v>12</v>
      </c>
      <c r="F248" s="40"/>
      <c r="G248" s="41"/>
      <c r="H248" s="42" t="s">
        <v>213</v>
      </c>
      <c r="I248" s="42"/>
      <c r="J248" s="42"/>
      <c r="K248" s="77">
        <f>202.73*105.4/100</f>
        <v>213.67741999999998</v>
      </c>
      <c r="L248" s="77"/>
      <c r="M248" s="77"/>
      <c r="N248" s="3"/>
    </row>
    <row r="249" spans="1:14" ht="34.5" customHeight="1">
      <c r="A249" s="22">
        <f t="shared" si="0"/>
        <v>40</v>
      </c>
      <c r="B249" s="76" t="s">
        <v>280</v>
      </c>
      <c r="C249" s="76"/>
      <c r="D249" s="76"/>
      <c r="E249" s="39" t="s">
        <v>12</v>
      </c>
      <c r="F249" s="40"/>
      <c r="G249" s="41"/>
      <c r="H249" s="42" t="s">
        <v>40</v>
      </c>
      <c r="I249" s="42"/>
      <c r="J249" s="42"/>
      <c r="K249" s="77">
        <f>113.67*105.4/100</f>
        <v>119.80818000000001</v>
      </c>
      <c r="L249" s="77"/>
      <c r="M249" s="77"/>
      <c r="N249" s="3"/>
    </row>
    <row r="250" spans="1:14" ht="34.5" customHeight="1">
      <c r="A250" s="22">
        <f t="shared" si="0"/>
        <v>41</v>
      </c>
      <c r="B250" s="76" t="s">
        <v>98</v>
      </c>
      <c r="C250" s="76"/>
      <c r="D250" s="76"/>
      <c r="E250" s="39" t="s">
        <v>12</v>
      </c>
      <c r="F250" s="40"/>
      <c r="G250" s="41"/>
      <c r="H250" s="42" t="s">
        <v>142</v>
      </c>
      <c r="I250" s="42"/>
      <c r="J250" s="42"/>
      <c r="K250" s="77">
        <f>113.91*105.4/100</f>
        <v>120.06113999999999</v>
      </c>
      <c r="L250" s="77"/>
      <c r="M250" s="77"/>
      <c r="N250" s="3">
        <f>800+30</f>
        <v>830</v>
      </c>
    </row>
    <row r="251" spans="1:14" ht="34.5" customHeight="1">
      <c r="A251" s="22">
        <f t="shared" si="0"/>
        <v>42</v>
      </c>
      <c r="B251" s="76" t="s">
        <v>102</v>
      </c>
      <c r="C251" s="76"/>
      <c r="D251" s="76"/>
      <c r="E251" s="39" t="s">
        <v>12</v>
      </c>
      <c r="F251" s="40"/>
      <c r="G251" s="41"/>
      <c r="H251" s="42" t="s">
        <v>210</v>
      </c>
      <c r="I251" s="42"/>
      <c r="J251" s="42"/>
      <c r="K251" s="77">
        <f>237.22*105.4/100</f>
        <v>250.02988000000002</v>
      </c>
      <c r="L251" s="77"/>
      <c r="M251" s="77"/>
      <c r="N251" s="3"/>
    </row>
    <row r="252" spans="1:14" ht="36" customHeight="1">
      <c r="A252" s="22">
        <f t="shared" si="0"/>
        <v>43</v>
      </c>
      <c r="B252" s="76" t="s">
        <v>55</v>
      </c>
      <c r="C252" s="76"/>
      <c r="D252" s="76"/>
      <c r="E252" s="39" t="s">
        <v>12</v>
      </c>
      <c r="F252" s="40"/>
      <c r="G252" s="41"/>
      <c r="H252" s="42" t="s">
        <v>214</v>
      </c>
      <c r="I252" s="42"/>
      <c r="J252" s="42"/>
      <c r="K252" s="77">
        <f>90.92*105.4/100</f>
        <v>95.82968000000001</v>
      </c>
      <c r="L252" s="77"/>
      <c r="M252" s="77"/>
      <c r="N252" s="3">
        <f>200+400</f>
        <v>600</v>
      </c>
    </row>
    <row r="253" spans="1:14" ht="33.75" customHeight="1">
      <c r="A253" s="22">
        <v>44</v>
      </c>
      <c r="B253" s="76" t="s">
        <v>56</v>
      </c>
      <c r="C253" s="76"/>
      <c r="D253" s="76"/>
      <c r="E253" s="39" t="s">
        <v>12</v>
      </c>
      <c r="F253" s="40"/>
      <c r="G253" s="41"/>
      <c r="H253" s="42" t="s">
        <v>106</v>
      </c>
      <c r="I253" s="42"/>
      <c r="J253" s="42"/>
      <c r="K253" s="77">
        <f>177.65*105.4/100</f>
        <v>187.24310000000003</v>
      </c>
      <c r="L253" s="77"/>
      <c r="M253" s="77"/>
      <c r="N253" s="3"/>
    </row>
    <row r="254" spans="1:14" ht="32.25" customHeight="1">
      <c r="A254" s="22">
        <v>45</v>
      </c>
      <c r="B254" s="76" t="s">
        <v>330</v>
      </c>
      <c r="C254" s="76"/>
      <c r="D254" s="76"/>
      <c r="E254" s="39" t="s">
        <v>12</v>
      </c>
      <c r="F254" s="40"/>
      <c r="G254" s="41"/>
      <c r="H254" s="42" t="s">
        <v>109</v>
      </c>
      <c r="I254" s="42"/>
      <c r="J254" s="42"/>
      <c r="K254" s="77">
        <f>373.49*105.4/100</f>
        <v>393.65846000000005</v>
      </c>
      <c r="L254" s="77"/>
      <c r="M254" s="77"/>
      <c r="N254" s="3"/>
    </row>
    <row r="255" spans="1:14" ht="36.75" customHeight="1">
      <c r="A255" s="22">
        <v>46</v>
      </c>
      <c r="B255" s="76" t="s">
        <v>331</v>
      </c>
      <c r="C255" s="76"/>
      <c r="D255" s="76"/>
      <c r="E255" s="39"/>
      <c r="F255" s="40"/>
      <c r="G255" s="41"/>
      <c r="H255" s="42" t="s">
        <v>109</v>
      </c>
      <c r="I255" s="42"/>
      <c r="J255" s="42"/>
      <c r="K255" s="77">
        <f>662.62*105.4/100</f>
        <v>698.40147999999999</v>
      </c>
      <c r="L255" s="77"/>
      <c r="M255" s="77"/>
      <c r="N255" s="3">
        <f>1800+100</f>
        <v>1900</v>
      </c>
    </row>
    <row r="256" spans="1:14" ht="36.75" customHeight="1">
      <c r="A256" s="22">
        <v>47</v>
      </c>
      <c r="B256" s="76" t="s">
        <v>332</v>
      </c>
      <c r="C256" s="76"/>
      <c r="D256" s="76"/>
      <c r="E256" s="39" t="s">
        <v>12</v>
      </c>
      <c r="F256" s="40"/>
      <c r="G256" s="41"/>
      <c r="H256" s="42" t="s">
        <v>106</v>
      </c>
      <c r="I256" s="42"/>
      <c r="J256" s="42"/>
      <c r="K256" s="77">
        <f>113.08*105.4/100</f>
        <v>119.18631999999999</v>
      </c>
      <c r="L256" s="77"/>
      <c r="M256" s="77"/>
      <c r="N256" s="3"/>
    </row>
    <row r="257" spans="1:14" ht="39.75" customHeight="1">
      <c r="A257" s="22">
        <f t="shared" si="0"/>
        <v>48</v>
      </c>
      <c r="B257" s="76" t="s">
        <v>128</v>
      </c>
      <c r="C257" s="76" t="s">
        <v>127</v>
      </c>
      <c r="D257" s="76"/>
      <c r="E257" s="39" t="s">
        <v>12</v>
      </c>
      <c r="F257" s="40"/>
      <c r="G257" s="41"/>
      <c r="H257" s="42" t="s">
        <v>129</v>
      </c>
      <c r="I257" s="42"/>
      <c r="J257" s="42"/>
      <c r="K257" s="77">
        <f>318.73*105.4/100</f>
        <v>335.94142000000005</v>
      </c>
      <c r="L257" s="77"/>
      <c r="M257" s="77"/>
      <c r="N257" s="3">
        <f>900+50</f>
        <v>950</v>
      </c>
    </row>
    <row r="258" spans="1:14" ht="36" customHeight="1">
      <c r="A258" s="22">
        <f t="shared" si="0"/>
        <v>49</v>
      </c>
      <c r="B258" s="76" t="s">
        <v>278</v>
      </c>
      <c r="C258" s="76"/>
      <c r="D258" s="76"/>
      <c r="E258" s="39" t="s">
        <v>12</v>
      </c>
      <c r="F258" s="40"/>
      <c r="G258" s="41"/>
      <c r="H258" s="42" t="s">
        <v>214</v>
      </c>
      <c r="I258" s="42"/>
      <c r="J258" s="42"/>
      <c r="K258" s="77">
        <f>522.5*105.4/100</f>
        <v>550.71500000000003</v>
      </c>
      <c r="L258" s="77"/>
      <c r="M258" s="77"/>
      <c r="N258" s="3"/>
    </row>
    <row r="259" spans="1:14" ht="34.5" customHeight="1">
      <c r="A259" s="22">
        <v>50</v>
      </c>
      <c r="B259" s="76" t="s">
        <v>333</v>
      </c>
      <c r="C259" s="76"/>
      <c r="D259" s="76"/>
      <c r="E259" s="39" t="s">
        <v>12</v>
      </c>
      <c r="F259" s="40"/>
      <c r="G259" s="41"/>
      <c r="H259" s="42" t="s">
        <v>132</v>
      </c>
      <c r="I259" s="42"/>
      <c r="J259" s="42"/>
      <c r="K259" s="77">
        <f>164.05*105.4/100</f>
        <v>172.90870000000004</v>
      </c>
      <c r="L259" s="77"/>
      <c r="M259" s="77"/>
      <c r="N259" s="3"/>
    </row>
    <row r="260" spans="1:14" ht="33.75" customHeight="1">
      <c r="A260" s="22">
        <v>51</v>
      </c>
      <c r="B260" s="76" t="s">
        <v>334</v>
      </c>
      <c r="C260" s="76"/>
      <c r="D260" s="76"/>
      <c r="E260" s="39" t="s">
        <v>12</v>
      </c>
      <c r="F260" s="40"/>
      <c r="G260" s="41"/>
      <c r="H260" s="42" t="s">
        <v>145</v>
      </c>
      <c r="I260" s="42"/>
      <c r="J260" s="42"/>
      <c r="K260" s="77">
        <f>272.99*105.4/100</f>
        <v>287.73146000000003</v>
      </c>
      <c r="L260" s="77"/>
      <c r="M260" s="77"/>
      <c r="N260" s="3"/>
    </row>
    <row r="261" spans="1:14" ht="34.5" customHeight="1">
      <c r="A261" s="22">
        <v>52</v>
      </c>
      <c r="B261" s="76" t="s">
        <v>335</v>
      </c>
      <c r="C261" s="76"/>
      <c r="D261" s="76"/>
      <c r="E261" s="39" t="s">
        <v>12</v>
      </c>
      <c r="F261" s="40"/>
      <c r="G261" s="41"/>
      <c r="H261" s="42" t="s">
        <v>143</v>
      </c>
      <c r="I261" s="42"/>
      <c r="J261" s="42"/>
      <c r="K261" s="77">
        <f>28.39*105.4/100</f>
        <v>29.92306</v>
      </c>
      <c r="L261" s="77"/>
      <c r="M261" s="77"/>
      <c r="N261" s="3"/>
    </row>
    <row r="262" spans="1:14" ht="34.5" customHeight="1">
      <c r="A262" s="22">
        <f t="shared" si="0"/>
        <v>53</v>
      </c>
      <c r="B262" s="76" t="s">
        <v>336</v>
      </c>
      <c r="C262" s="76"/>
      <c r="D262" s="76"/>
      <c r="E262" s="39" t="s">
        <v>12</v>
      </c>
      <c r="F262" s="40"/>
      <c r="G262" s="41"/>
      <c r="H262" s="42" t="s">
        <v>145</v>
      </c>
      <c r="I262" s="42"/>
      <c r="J262" s="42"/>
      <c r="K262" s="77">
        <f>263.34*105.4/100</f>
        <v>277.56036</v>
      </c>
      <c r="L262" s="77"/>
      <c r="M262" s="77"/>
      <c r="N262" s="3"/>
    </row>
    <row r="263" spans="1:14" ht="34.5" customHeight="1">
      <c r="A263" s="22">
        <f t="shared" si="0"/>
        <v>54</v>
      </c>
      <c r="B263" s="76" t="s">
        <v>337</v>
      </c>
      <c r="C263" s="76"/>
      <c r="D263" s="76"/>
      <c r="E263" s="39" t="s">
        <v>52</v>
      </c>
      <c r="F263" s="40"/>
      <c r="G263" s="41"/>
      <c r="H263" s="42" t="s">
        <v>132</v>
      </c>
      <c r="I263" s="42"/>
      <c r="J263" s="42"/>
      <c r="K263" s="77">
        <f>297.83*105.4/100</f>
        <v>313.91282000000001</v>
      </c>
      <c r="L263" s="77"/>
      <c r="M263" s="77"/>
      <c r="N263" s="3"/>
    </row>
    <row r="264" spans="1:14" ht="34.5" customHeight="1">
      <c r="A264" s="22">
        <f t="shared" si="0"/>
        <v>55</v>
      </c>
      <c r="B264" s="76" t="s">
        <v>338</v>
      </c>
      <c r="C264" s="76"/>
      <c r="D264" s="76"/>
      <c r="E264" s="39" t="s">
        <v>12</v>
      </c>
      <c r="F264" s="40"/>
      <c r="G264" s="41"/>
      <c r="H264" s="42" t="s">
        <v>143</v>
      </c>
      <c r="I264" s="42"/>
      <c r="J264" s="42"/>
      <c r="K264" s="77">
        <f>27.53*105.4/100</f>
        <v>29.016620000000003</v>
      </c>
      <c r="L264" s="77"/>
      <c r="M264" s="77"/>
      <c r="N264" s="3"/>
    </row>
    <row r="265" spans="1:14" ht="34.5" customHeight="1">
      <c r="A265" s="22">
        <f t="shared" si="0"/>
        <v>56</v>
      </c>
      <c r="B265" s="38" t="s">
        <v>339</v>
      </c>
      <c r="C265" s="38"/>
      <c r="D265" s="38"/>
      <c r="E265" s="39" t="s">
        <v>12</v>
      </c>
      <c r="F265" s="40"/>
      <c r="G265" s="41"/>
      <c r="H265" s="42" t="s">
        <v>106</v>
      </c>
      <c r="I265" s="42"/>
      <c r="J265" s="42"/>
      <c r="K265" s="77">
        <f>268.58*105.4/100</f>
        <v>283.08331999999996</v>
      </c>
      <c r="L265" s="77"/>
      <c r="M265" s="77"/>
      <c r="N265" s="3"/>
    </row>
    <row r="266" spans="1:14" ht="33" customHeight="1">
      <c r="A266" s="22">
        <f t="shared" si="0"/>
        <v>57</v>
      </c>
      <c r="B266" s="76" t="s">
        <v>172</v>
      </c>
      <c r="C266" s="76"/>
      <c r="D266" s="76"/>
      <c r="E266" s="39" t="s">
        <v>12</v>
      </c>
      <c r="F266" s="40"/>
      <c r="G266" s="41"/>
      <c r="H266" s="42" t="s">
        <v>145</v>
      </c>
      <c r="I266" s="42"/>
      <c r="J266" s="42"/>
      <c r="K266" s="77">
        <f>172.41*105.4/100</f>
        <v>181.72013999999999</v>
      </c>
      <c r="L266" s="77"/>
      <c r="M266" s="77"/>
      <c r="N266" s="3"/>
    </row>
    <row r="267" spans="1:14" ht="33.75" customHeight="1">
      <c r="A267" s="22">
        <f t="shared" si="0"/>
        <v>58</v>
      </c>
      <c r="B267" s="76" t="s">
        <v>341</v>
      </c>
      <c r="C267" s="76"/>
      <c r="D267" s="76"/>
      <c r="E267" s="39" t="s">
        <v>12</v>
      </c>
      <c r="F267" s="40"/>
      <c r="G267" s="41"/>
      <c r="H267" s="42" t="s">
        <v>215</v>
      </c>
      <c r="I267" s="42"/>
      <c r="J267" s="42"/>
      <c r="K267" s="77">
        <f>169.3*105.4/100</f>
        <v>178.44220000000001</v>
      </c>
      <c r="L267" s="77"/>
      <c r="M267" s="77"/>
      <c r="N267" s="3">
        <f>570+10</f>
        <v>580</v>
      </c>
    </row>
    <row r="268" spans="1:14" ht="34.5" customHeight="1">
      <c r="A268" s="22">
        <f t="shared" si="0"/>
        <v>59</v>
      </c>
      <c r="B268" s="76" t="s">
        <v>291</v>
      </c>
      <c r="C268" s="76"/>
      <c r="D268" s="76"/>
      <c r="E268" s="39" t="s">
        <v>12</v>
      </c>
      <c r="F268" s="40"/>
      <c r="G268" s="41"/>
      <c r="H268" s="42" t="s">
        <v>140</v>
      </c>
      <c r="I268" s="42"/>
      <c r="J268" s="42"/>
      <c r="K268" s="77">
        <f>165.11*105.4/100</f>
        <v>174.02594000000002</v>
      </c>
      <c r="L268" s="77"/>
      <c r="M268" s="77"/>
      <c r="N268" s="3"/>
    </row>
    <row r="269" spans="1:14" ht="33.75" customHeight="1">
      <c r="A269" s="22">
        <f t="shared" si="0"/>
        <v>60</v>
      </c>
      <c r="B269" s="59" t="s">
        <v>340</v>
      </c>
      <c r="C269" s="60"/>
      <c r="D269" s="61"/>
      <c r="E269" s="39" t="s">
        <v>171</v>
      </c>
      <c r="F269" s="40"/>
      <c r="G269" s="41"/>
      <c r="H269" s="39" t="s">
        <v>315</v>
      </c>
      <c r="I269" s="40"/>
      <c r="J269" s="41"/>
      <c r="K269" s="125">
        <f>21.28*105.4/100</f>
        <v>22.429120000000001</v>
      </c>
      <c r="L269" s="126"/>
      <c r="M269" s="127"/>
      <c r="N269" s="3"/>
    </row>
    <row r="270" spans="1:14" ht="33" customHeight="1">
      <c r="A270" s="22">
        <f t="shared" si="0"/>
        <v>61</v>
      </c>
      <c r="B270" s="59" t="s">
        <v>342</v>
      </c>
      <c r="C270" s="60"/>
      <c r="D270" s="61"/>
      <c r="E270" s="39" t="s">
        <v>12</v>
      </c>
      <c r="F270" s="40"/>
      <c r="G270" s="41"/>
      <c r="H270" s="39" t="s">
        <v>143</v>
      </c>
      <c r="I270" s="40"/>
      <c r="J270" s="41"/>
      <c r="K270" s="125">
        <f>28.74*105.4/100</f>
        <v>30.29196</v>
      </c>
      <c r="L270" s="126"/>
      <c r="M270" s="127"/>
      <c r="N270" s="3"/>
    </row>
    <row r="271" spans="1:14" ht="31.9" customHeight="1">
      <c r="A271" s="22">
        <f t="shared" si="0"/>
        <v>62</v>
      </c>
      <c r="B271" s="59" t="s">
        <v>57</v>
      </c>
      <c r="C271" s="60"/>
      <c r="D271" s="61"/>
      <c r="E271" s="39" t="s">
        <v>12</v>
      </c>
      <c r="F271" s="40"/>
      <c r="G271" s="41"/>
      <c r="H271" s="39" t="s">
        <v>145</v>
      </c>
      <c r="I271" s="40"/>
      <c r="J271" s="41"/>
      <c r="K271" s="125">
        <f>327.09*105.4/100</f>
        <v>344.75286</v>
      </c>
      <c r="L271" s="126"/>
      <c r="M271" s="127"/>
      <c r="N271" s="3"/>
    </row>
    <row r="272" spans="1:14" ht="34.5" customHeight="1">
      <c r="A272" s="22">
        <v>63</v>
      </c>
      <c r="B272" s="76" t="s">
        <v>303</v>
      </c>
      <c r="C272" s="76"/>
      <c r="D272" s="76"/>
      <c r="E272" s="39" t="s">
        <v>12</v>
      </c>
      <c r="F272" s="40"/>
      <c r="G272" s="41"/>
      <c r="H272" s="42" t="s">
        <v>40</v>
      </c>
      <c r="I272" s="42"/>
      <c r="J272" s="42"/>
      <c r="K272" s="77">
        <f>275.88*105.4/100</f>
        <v>290.77751999999998</v>
      </c>
      <c r="L272" s="77"/>
      <c r="M272" s="77"/>
      <c r="N272" s="3"/>
    </row>
    <row r="273" spans="1:14" ht="34.5" customHeight="1">
      <c r="A273" s="22">
        <f t="shared" si="0"/>
        <v>64</v>
      </c>
      <c r="B273" s="76" t="s">
        <v>60</v>
      </c>
      <c r="C273" s="76"/>
      <c r="D273" s="76"/>
      <c r="E273" s="39" t="s">
        <v>12</v>
      </c>
      <c r="F273" s="40"/>
      <c r="G273" s="41"/>
      <c r="H273" s="42" t="s">
        <v>212</v>
      </c>
      <c r="I273" s="42"/>
      <c r="J273" s="42"/>
      <c r="K273" s="77">
        <f>32.64*105.4/100</f>
        <v>34.402560000000001</v>
      </c>
      <c r="L273" s="77"/>
      <c r="M273" s="77"/>
      <c r="N273" s="3"/>
    </row>
    <row r="274" spans="1:14" ht="33.75" customHeight="1">
      <c r="A274" s="22">
        <f t="shared" si="0"/>
        <v>65</v>
      </c>
      <c r="B274" s="76" t="s">
        <v>312</v>
      </c>
      <c r="C274" s="76"/>
      <c r="D274" s="76"/>
      <c r="E274" s="39" t="s">
        <v>12</v>
      </c>
      <c r="F274" s="40"/>
      <c r="G274" s="41"/>
      <c r="H274" s="42" t="s">
        <v>106</v>
      </c>
      <c r="I274" s="42"/>
      <c r="J274" s="42"/>
      <c r="K274" s="77">
        <f>160.93*105.4/100</f>
        <v>169.62022000000002</v>
      </c>
      <c r="L274" s="77"/>
      <c r="M274" s="77"/>
      <c r="N274" s="3"/>
    </row>
    <row r="275" spans="1:14" ht="33.75" customHeight="1">
      <c r="A275" s="22">
        <f t="shared" si="0"/>
        <v>66</v>
      </c>
      <c r="B275" s="76" t="s">
        <v>61</v>
      </c>
      <c r="C275" s="76"/>
      <c r="D275" s="76"/>
      <c r="E275" s="39" t="s">
        <v>12</v>
      </c>
      <c r="F275" s="40"/>
      <c r="G275" s="41"/>
      <c r="H275" s="42" t="s">
        <v>107</v>
      </c>
      <c r="I275" s="42"/>
      <c r="J275" s="42"/>
      <c r="K275" s="77">
        <f>28.57*105.4/100</f>
        <v>30.112780000000001</v>
      </c>
      <c r="L275" s="77"/>
      <c r="M275" s="77"/>
      <c r="N275" s="3"/>
    </row>
    <row r="276" spans="1:14" ht="33.75" customHeight="1">
      <c r="A276" s="22">
        <f t="shared" ref="A276:A295" si="1">A275+1</f>
        <v>67</v>
      </c>
      <c r="B276" s="76" t="s">
        <v>313</v>
      </c>
      <c r="C276" s="76"/>
      <c r="D276" s="76"/>
      <c r="E276" s="39" t="s">
        <v>12</v>
      </c>
      <c r="F276" s="40"/>
      <c r="G276" s="41"/>
      <c r="H276" s="42" t="s">
        <v>212</v>
      </c>
      <c r="I276" s="42"/>
      <c r="J276" s="42"/>
      <c r="K276" s="77">
        <f>49.86*105.4/100</f>
        <v>52.552440000000004</v>
      </c>
      <c r="L276" s="77"/>
      <c r="M276" s="77"/>
      <c r="N276" s="3"/>
    </row>
    <row r="277" spans="1:14" ht="33.75" customHeight="1">
      <c r="A277" s="22">
        <f t="shared" si="1"/>
        <v>68</v>
      </c>
      <c r="B277" s="76" t="s">
        <v>184</v>
      </c>
      <c r="C277" s="76"/>
      <c r="D277" s="76"/>
      <c r="E277" s="39" t="s">
        <v>121</v>
      </c>
      <c r="F277" s="40"/>
      <c r="G277" s="41"/>
      <c r="H277" s="42" t="s">
        <v>212</v>
      </c>
      <c r="I277" s="42"/>
      <c r="J277" s="42"/>
      <c r="K277" s="77">
        <f>32.02*105.4/100</f>
        <v>33.749080000000006</v>
      </c>
      <c r="L277" s="77"/>
      <c r="M277" s="77"/>
      <c r="N277" s="3"/>
    </row>
    <row r="278" spans="1:14" ht="33.75" customHeight="1">
      <c r="A278" s="22">
        <f t="shared" si="1"/>
        <v>69</v>
      </c>
      <c r="B278" s="59" t="s">
        <v>185</v>
      </c>
      <c r="C278" s="60"/>
      <c r="D278" s="61"/>
      <c r="E278" s="39" t="s">
        <v>121</v>
      </c>
      <c r="F278" s="40"/>
      <c r="G278" s="41"/>
      <c r="H278" s="39" t="s">
        <v>212</v>
      </c>
      <c r="I278" s="40"/>
      <c r="J278" s="41"/>
      <c r="K278" s="125">
        <f>40.09*105.4/100</f>
        <v>42.254860000000008</v>
      </c>
      <c r="L278" s="126"/>
      <c r="M278" s="127"/>
      <c r="N278" s="3"/>
    </row>
    <row r="279" spans="1:14" ht="34.5" customHeight="1">
      <c r="A279" s="22">
        <f t="shared" si="1"/>
        <v>70</v>
      </c>
      <c r="B279" s="59" t="s">
        <v>263</v>
      </c>
      <c r="C279" s="60"/>
      <c r="D279" s="61"/>
      <c r="E279" s="39" t="s">
        <v>52</v>
      </c>
      <c r="F279" s="40"/>
      <c r="G279" s="41"/>
      <c r="H279" s="42" t="s">
        <v>146</v>
      </c>
      <c r="I279" s="42"/>
      <c r="J279" s="42"/>
      <c r="K279" s="77">
        <f>37.81*105.4/100</f>
        <v>39.851740000000007</v>
      </c>
      <c r="L279" s="77"/>
      <c r="M279" s="77"/>
      <c r="N279" s="3"/>
    </row>
    <row r="280" spans="1:14" ht="33.75" customHeight="1">
      <c r="A280" s="22">
        <f t="shared" si="1"/>
        <v>71</v>
      </c>
      <c r="B280" s="38" t="s">
        <v>264</v>
      </c>
      <c r="C280" s="38"/>
      <c r="D280" s="38"/>
      <c r="E280" s="39" t="s">
        <v>52</v>
      </c>
      <c r="F280" s="40"/>
      <c r="G280" s="41"/>
      <c r="H280" s="42" t="s">
        <v>107</v>
      </c>
      <c r="I280" s="42"/>
      <c r="J280" s="42"/>
      <c r="K280" s="77">
        <f>72.21*105.4/100</f>
        <v>76.109340000000003</v>
      </c>
      <c r="L280" s="77"/>
      <c r="M280" s="77"/>
      <c r="N280" s="3"/>
    </row>
    <row r="281" spans="1:14" ht="33.75" customHeight="1">
      <c r="A281" s="22">
        <f t="shared" si="1"/>
        <v>72</v>
      </c>
      <c r="B281" s="76" t="s">
        <v>216</v>
      </c>
      <c r="C281" s="76"/>
      <c r="D281" s="76"/>
      <c r="E281" s="39" t="s">
        <v>12</v>
      </c>
      <c r="F281" s="40"/>
      <c r="G281" s="41"/>
      <c r="H281" s="42" t="s">
        <v>106</v>
      </c>
      <c r="I281" s="42"/>
      <c r="J281" s="42"/>
      <c r="K281" s="125">
        <f>447.24*105.4/100</f>
        <v>471.39096000000006</v>
      </c>
      <c r="L281" s="126"/>
      <c r="M281" s="127"/>
      <c r="N281" s="3"/>
    </row>
    <row r="282" spans="1:14" ht="33.75" customHeight="1">
      <c r="A282" s="22">
        <f t="shared" si="1"/>
        <v>73</v>
      </c>
      <c r="B282" s="76" t="s">
        <v>376</v>
      </c>
      <c r="C282" s="76"/>
      <c r="D282" s="76"/>
      <c r="E282" s="39" t="s">
        <v>12</v>
      </c>
      <c r="F282" s="40"/>
      <c r="G282" s="41"/>
      <c r="H282" s="42" t="s">
        <v>378</v>
      </c>
      <c r="I282" s="42"/>
      <c r="J282" s="42"/>
      <c r="K282" s="77">
        <f>108.17*105.4/100</f>
        <v>114.01118000000001</v>
      </c>
      <c r="L282" s="77"/>
      <c r="M282" s="77"/>
      <c r="N282" s="3"/>
    </row>
    <row r="283" spans="1:14" ht="33.75" customHeight="1">
      <c r="A283" s="29">
        <v>74</v>
      </c>
      <c r="B283" s="76" t="s">
        <v>377</v>
      </c>
      <c r="C283" s="76"/>
      <c r="D283" s="76"/>
      <c r="E283" s="39" t="s">
        <v>12</v>
      </c>
      <c r="F283" s="40"/>
      <c r="G283" s="41"/>
      <c r="H283" s="42" t="s">
        <v>378</v>
      </c>
      <c r="I283" s="42"/>
      <c r="J283" s="42"/>
      <c r="K283" s="77">
        <f>336.15*105.4/100</f>
        <v>354.3021</v>
      </c>
      <c r="L283" s="77"/>
      <c r="M283" s="77"/>
      <c r="N283" s="3"/>
    </row>
    <row r="284" spans="1:14" ht="33.75" customHeight="1">
      <c r="A284" s="22">
        <v>75</v>
      </c>
      <c r="B284" s="76" t="s">
        <v>265</v>
      </c>
      <c r="C284" s="76"/>
      <c r="D284" s="76"/>
      <c r="E284" s="39" t="s">
        <v>12</v>
      </c>
      <c r="F284" s="40"/>
      <c r="G284" s="41"/>
      <c r="H284" s="42" t="s">
        <v>266</v>
      </c>
      <c r="I284" s="42"/>
      <c r="J284" s="42"/>
      <c r="K284" s="77">
        <f>52.25*105.4/100</f>
        <v>55.071500000000007</v>
      </c>
      <c r="L284" s="77"/>
      <c r="M284" s="77"/>
      <c r="N284" s="3"/>
    </row>
    <row r="285" spans="1:14" ht="33.75" customHeight="1">
      <c r="A285" s="22">
        <f t="shared" si="1"/>
        <v>76</v>
      </c>
      <c r="B285" s="76" t="s">
        <v>58</v>
      </c>
      <c r="C285" s="76"/>
      <c r="D285" s="76"/>
      <c r="E285" s="39" t="s">
        <v>12</v>
      </c>
      <c r="F285" s="40"/>
      <c r="G285" s="41"/>
      <c r="H285" s="42" t="s">
        <v>133</v>
      </c>
      <c r="I285" s="42"/>
      <c r="J285" s="42"/>
      <c r="K285" s="77">
        <f>83.34*105.4/100</f>
        <v>87.840360000000004</v>
      </c>
      <c r="L285" s="77"/>
      <c r="M285" s="77"/>
      <c r="N285" s="3"/>
    </row>
    <row r="286" spans="1:14" ht="42" customHeight="1">
      <c r="A286" s="22">
        <f t="shared" si="1"/>
        <v>77</v>
      </c>
      <c r="B286" s="76" t="s">
        <v>181</v>
      </c>
      <c r="C286" s="76"/>
      <c r="D286" s="76"/>
      <c r="E286" s="39" t="s">
        <v>12</v>
      </c>
      <c r="F286" s="40"/>
      <c r="G286" s="41"/>
      <c r="H286" s="42" t="s">
        <v>145</v>
      </c>
      <c r="I286" s="42"/>
      <c r="J286" s="42"/>
      <c r="K286" s="77">
        <f>57.84*105.4/100</f>
        <v>60.963360000000002</v>
      </c>
      <c r="L286" s="77"/>
      <c r="M286" s="77"/>
      <c r="N286" s="3"/>
    </row>
    <row r="287" spans="1:14" ht="62.25" customHeight="1">
      <c r="A287" s="22">
        <f t="shared" si="1"/>
        <v>78</v>
      </c>
      <c r="B287" s="76" t="s">
        <v>262</v>
      </c>
      <c r="C287" s="76"/>
      <c r="D287" s="76"/>
      <c r="E287" s="39" t="s">
        <v>12</v>
      </c>
      <c r="F287" s="40"/>
      <c r="G287" s="41"/>
      <c r="H287" s="42" t="s">
        <v>106</v>
      </c>
      <c r="I287" s="42"/>
      <c r="J287" s="42"/>
      <c r="K287" s="77">
        <f>49.98*105.4/100</f>
        <v>52.678919999999998</v>
      </c>
      <c r="L287" s="77"/>
      <c r="M287" s="77"/>
      <c r="N287" s="3"/>
    </row>
    <row r="288" spans="1:14" ht="30.75" customHeight="1">
      <c r="A288" s="22">
        <f t="shared" si="1"/>
        <v>79</v>
      </c>
      <c r="B288" s="59" t="s">
        <v>343</v>
      </c>
      <c r="C288" s="60"/>
      <c r="D288" s="61"/>
      <c r="E288" s="39" t="s">
        <v>12</v>
      </c>
      <c r="F288" s="40"/>
      <c r="G288" s="41"/>
      <c r="H288" s="39" t="s">
        <v>140</v>
      </c>
      <c r="I288" s="40"/>
      <c r="J288" s="41"/>
      <c r="K288" s="125">
        <f>574.75*105.4/100</f>
        <v>605.78650000000005</v>
      </c>
      <c r="L288" s="126"/>
      <c r="M288" s="127"/>
      <c r="N288" s="8"/>
    </row>
    <row r="289" spans="1:14" ht="30" customHeight="1">
      <c r="A289" s="22">
        <f t="shared" si="1"/>
        <v>80</v>
      </c>
      <c r="B289" s="59" t="s">
        <v>208</v>
      </c>
      <c r="C289" s="60"/>
      <c r="D289" s="61"/>
      <c r="E289" s="39" t="s">
        <v>52</v>
      </c>
      <c r="F289" s="40"/>
      <c r="G289" s="41"/>
      <c r="H289" s="42" t="s">
        <v>106</v>
      </c>
      <c r="I289" s="42"/>
      <c r="J289" s="42"/>
      <c r="K289" s="125">
        <f>271.7*105.4/100</f>
        <v>286.37180000000001</v>
      </c>
      <c r="L289" s="126"/>
      <c r="M289" s="127"/>
      <c r="N289" s="8" t="s">
        <v>103</v>
      </c>
    </row>
    <row r="290" spans="1:14" ht="37.5" customHeight="1">
      <c r="A290" s="22">
        <f t="shared" si="1"/>
        <v>81</v>
      </c>
      <c r="B290" s="59" t="s">
        <v>261</v>
      </c>
      <c r="C290" s="60"/>
      <c r="D290" s="61"/>
      <c r="E290" s="39" t="s">
        <v>12</v>
      </c>
      <c r="F290" s="40"/>
      <c r="G290" s="41"/>
      <c r="H290" s="42" t="s">
        <v>40</v>
      </c>
      <c r="I290" s="42"/>
      <c r="J290" s="42"/>
      <c r="K290" s="125">
        <f>104.5*105.4/100</f>
        <v>110.14300000000001</v>
      </c>
      <c r="L290" s="126"/>
      <c r="M290" s="127"/>
      <c r="N290" s="3"/>
    </row>
    <row r="291" spans="1:14" ht="33.75" customHeight="1">
      <c r="A291" s="22">
        <f t="shared" si="1"/>
        <v>82</v>
      </c>
      <c r="B291" s="76" t="s">
        <v>302</v>
      </c>
      <c r="C291" s="76"/>
      <c r="D291" s="76"/>
      <c r="E291" s="39" t="s">
        <v>12</v>
      </c>
      <c r="F291" s="40"/>
      <c r="G291" s="41"/>
      <c r="H291" s="42" t="s">
        <v>139</v>
      </c>
      <c r="I291" s="42"/>
      <c r="J291" s="42"/>
      <c r="K291" s="77">
        <f>2090*105.4/100</f>
        <v>2202.86</v>
      </c>
      <c r="L291" s="77"/>
      <c r="M291" s="77"/>
      <c r="N291" s="3"/>
    </row>
    <row r="292" spans="1:14" ht="39.75" customHeight="1">
      <c r="A292" s="22">
        <f t="shared" si="1"/>
        <v>83</v>
      </c>
      <c r="B292" s="76" t="s">
        <v>182</v>
      </c>
      <c r="C292" s="76"/>
      <c r="D292" s="76"/>
      <c r="E292" s="39" t="s">
        <v>12</v>
      </c>
      <c r="F292" s="40"/>
      <c r="G292" s="41"/>
      <c r="H292" s="42" t="s">
        <v>139</v>
      </c>
      <c r="I292" s="42"/>
      <c r="J292" s="42"/>
      <c r="K292" s="77">
        <f>1175.52*105.4/100</f>
        <v>1238.9980800000001</v>
      </c>
      <c r="L292" s="77"/>
      <c r="M292" s="77"/>
      <c r="N292" s="8"/>
    </row>
    <row r="293" spans="1:14" ht="29.25" customHeight="1">
      <c r="A293" s="22">
        <f t="shared" si="1"/>
        <v>84</v>
      </c>
      <c r="B293" s="76" t="s">
        <v>59</v>
      </c>
      <c r="C293" s="76"/>
      <c r="D293" s="76"/>
      <c r="E293" s="39" t="s">
        <v>12</v>
      </c>
      <c r="F293" s="40"/>
      <c r="G293" s="41"/>
      <c r="H293" s="42" t="s">
        <v>140</v>
      </c>
      <c r="I293" s="42"/>
      <c r="J293" s="42"/>
      <c r="K293" s="77">
        <f>110.76*105.4/100</f>
        <v>116.74104000000001</v>
      </c>
      <c r="L293" s="77"/>
      <c r="M293" s="77"/>
      <c r="N293" s="8"/>
    </row>
    <row r="294" spans="1:14" ht="42.4" customHeight="1">
      <c r="A294" s="22">
        <f t="shared" si="1"/>
        <v>85</v>
      </c>
      <c r="B294" s="76" t="s">
        <v>344</v>
      </c>
      <c r="C294" s="76"/>
      <c r="D294" s="76"/>
      <c r="E294" s="39" t="s">
        <v>52</v>
      </c>
      <c r="F294" s="40"/>
      <c r="G294" s="41"/>
      <c r="H294" s="42" t="s">
        <v>212</v>
      </c>
      <c r="I294" s="42"/>
      <c r="J294" s="42"/>
      <c r="K294" s="77">
        <f>79.28*105.4/100</f>
        <v>83.561120000000017</v>
      </c>
      <c r="L294" s="77"/>
      <c r="M294" s="77"/>
    </row>
    <row r="295" spans="1:14" ht="43.9" customHeight="1">
      <c r="A295" s="22">
        <f t="shared" si="1"/>
        <v>86</v>
      </c>
      <c r="B295" s="76" t="s">
        <v>122</v>
      </c>
      <c r="C295" s="76"/>
      <c r="D295" s="76"/>
      <c r="E295" s="39" t="s">
        <v>111</v>
      </c>
      <c r="F295" s="40"/>
      <c r="G295" s="41"/>
      <c r="H295" s="42" t="s">
        <v>40</v>
      </c>
      <c r="I295" s="42"/>
      <c r="J295" s="42"/>
      <c r="K295" s="77">
        <v>104500</v>
      </c>
      <c r="L295" s="77"/>
      <c r="M295" s="77"/>
    </row>
    <row r="296" spans="1:14" ht="46.15" customHeight="1">
      <c r="A296" s="55" t="s">
        <v>300</v>
      </c>
      <c r="B296" s="55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</row>
    <row r="297" spans="1:14" ht="26.45" customHeight="1">
      <c r="A297" s="25" t="s">
        <v>2</v>
      </c>
      <c r="B297" s="87" t="s">
        <v>30</v>
      </c>
      <c r="C297" s="135"/>
      <c r="D297" s="135"/>
      <c r="E297" s="68" t="s">
        <v>10</v>
      </c>
      <c r="F297" s="69"/>
      <c r="G297" s="70"/>
      <c r="H297" s="87" t="s">
        <v>105</v>
      </c>
      <c r="I297" s="135"/>
      <c r="J297" s="135"/>
      <c r="K297" s="87" t="s">
        <v>138</v>
      </c>
      <c r="L297" s="135"/>
      <c r="M297" s="135"/>
    </row>
    <row r="298" spans="1:14" ht="36" customHeight="1">
      <c r="A298" s="22">
        <v>1</v>
      </c>
      <c r="B298" s="38" t="s">
        <v>345</v>
      </c>
      <c r="C298" s="38"/>
      <c r="D298" s="38"/>
      <c r="E298" s="39" t="s">
        <v>12</v>
      </c>
      <c r="F298" s="40"/>
      <c r="G298" s="41"/>
      <c r="H298" s="42" t="s">
        <v>346</v>
      </c>
      <c r="I298" s="42"/>
      <c r="J298" s="42"/>
      <c r="K298" s="77">
        <f>43.18*105.4/100</f>
        <v>45.511720000000004</v>
      </c>
      <c r="L298" s="77"/>
      <c r="M298" s="77"/>
    </row>
    <row r="299" spans="1:14" ht="29.65" customHeight="1">
      <c r="A299" s="22">
        <v>2</v>
      </c>
      <c r="B299" s="38" t="s">
        <v>347</v>
      </c>
      <c r="C299" s="38"/>
      <c r="D299" s="38"/>
      <c r="E299" s="39" t="s">
        <v>12</v>
      </c>
      <c r="F299" s="40"/>
      <c r="G299" s="41"/>
      <c r="H299" s="42" t="s">
        <v>346</v>
      </c>
      <c r="I299" s="42"/>
      <c r="J299" s="42"/>
      <c r="K299" s="77">
        <f>43.83*105.4/100</f>
        <v>46.196819999999995</v>
      </c>
      <c r="L299" s="77"/>
      <c r="M299" s="77"/>
    </row>
    <row r="300" spans="1:14" ht="39.4" customHeight="1">
      <c r="A300" s="22">
        <v>3</v>
      </c>
      <c r="B300" s="38" t="s">
        <v>348</v>
      </c>
      <c r="C300" s="38"/>
      <c r="D300" s="38"/>
      <c r="E300" s="39" t="s">
        <v>52</v>
      </c>
      <c r="F300" s="40"/>
      <c r="G300" s="41"/>
      <c r="H300" s="42" t="s">
        <v>130</v>
      </c>
      <c r="I300" s="42"/>
      <c r="J300" s="42"/>
      <c r="K300" s="77">
        <f>123.34*105.4/100</f>
        <v>130.00036000000003</v>
      </c>
      <c r="L300" s="77"/>
      <c r="M300" s="77"/>
    </row>
    <row r="301" spans="1:14" ht="37.5" customHeight="1">
      <c r="A301" s="22">
        <v>4</v>
      </c>
      <c r="B301" s="38" t="s">
        <v>349</v>
      </c>
      <c r="C301" s="38"/>
      <c r="D301" s="38"/>
      <c r="E301" s="39" t="s">
        <v>12</v>
      </c>
      <c r="F301" s="40"/>
      <c r="G301" s="41"/>
      <c r="H301" s="42" t="s">
        <v>140</v>
      </c>
      <c r="I301" s="42"/>
      <c r="J301" s="42"/>
      <c r="K301" s="77">
        <f>420.19*105.4/100</f>
        <v>442.88026000000008</v>
      </c>
      <c r="L301" s="77"/>
      <c r="M301" s="77"/>
    </row>
    <row r="302" spans="1:14" ht="30" customHeight="1">
      <c r="A302" s="22">
        <v>5</v>
      </c>
      <c r="B302" s="38" t="s">
        <v>350</v>
      </c>
      <c r="C302" s="38"/>
      <c r="D302" s="38"/>
      <c r="E302" s="39" t="s">
        <v>12</v>
      </c>
      <c r="F302" s="40"/>
      <c r="G302" s="41"/>
      <c r="H302" s="42" t="s">
        <v>106</v>
      </c>
      <c r="I302" s="42"/>
      <c r="J302" s="42"/>
      <c r="K302" s="77">
        <f>137.68*105.4/100</f>
        <v>145.11472000000001</v>
      </c>
      <c r="L302" s="77"/>
      <c r="M302" s="77"/>
    </row>
    <row r="303" spans="1:14" ht="59.65" customHeight="1">
      <c r="A303" s="22">
        <v>6</v>
      </c>
      <c r="B303" s="38" t="s">
        <v>160</v>
      </c>
      <c r="C303" s="38"/>
      <c r="D303" s="38"/>
      <c r="E303" s="39" t="s">
        <v>12</v>
      </c>
      <c r="F303" s="40"/>
      <c r="G303" s="41"/>
      <c r="H303" s="42" t="s">
        <v>110</v>
      </c>
      <c r="I303" s="42"/>
      <c r="J303" s="42"/>
      <c r="K303" s="77">
        <v>10450</v>
      </c>
      <c r="L303" s="77"/>
      <c r="M303" s="77"/>
    </row>
    <row r="304" spans="1:14" ht="39.4" customHeight="1">
      <c r="A304" s="137" t="s">
        <v>351</v>
      </c>
      <c r="B304" s="137"/>
      <c r="C304" s="137"/>
      <c r="D304" s="137"/>
      <c r="E304" s="137"/>
      <c r="F304" s="137"/>
      <c r="G304" s="137"/>
      <c r="H304" s="137"/>
      <c r="I304" s="137"/>
      <c r="J304" s="137"/>
      <c r="K304" s="137"/>
      <c r="L304" s="137"/>
      <c r="M304" s="137"/>
    </row>
    <row r="305" spans="1:13" ht="31.15" customHeight="1">
      <c r="A305" s="24" t="s">
        <v>2</v>
      </c>
      <c r="B305" s="143" t="s">
        <v>30</v>
      </c>
      <c r="C305" s="144"/>
      <c r="D305" s="145"/>
      <c r="E305" s="143" t="s">
        <v>353</v>
      </c>
      <c r="F305" s="144"/>
      <c r="G305" s="145"/>
      <c r="H305" s="146" t="s">
        <v>33</v>
      </c>
      <c r="I305" s="147"/>
      <c r="J305" s="147"/>
      <c r="K305" s="146"/>
      <c r="L305" s="147"/>
      <c r="M305" s="147"/>
    </row>
    <row r="306" spans="1:13" ht="48" customHeight="1">
      <c r="A306" s="13">
        <v>1</v>
      </c>
      <c r="B306" s="148" t="s">
        <v>352</v>
      </c>
      <c r="C306" s="149"/>
      <c r="D306" s="150"/>
      <c r="E306" s="140" t="s">
        <v>40</v>
      </c>
      <c r="F306" s="141"/>
      <c r="G306" s="111"/>
      <c r="H306" s="142" t="s">
        <v>21</v>
      </c>
      <c r="I306" s="142"/>
      <c r="J306" s="142"/>
      <c r="K306" s="151"/>
      <c r="L306" s="142"/>
      <c r="M306" s="142"/>
    </row>
    <row r="307" spans="1:13" ht="46.5" customHeight="1">
      <c r="A307" s="13">
        <v>2</v>
      </c>
      <c r="B307" s="139" t="s">
        <v>354</v>
      </c>
      <c r="C307" s="139"/>
      <c r="D307" s="139"/>
      <c r="E307" s="140" t="s">
        <v>40</v>
      </c>
      <c r="F307" s="141"/>
      <c r="G307" s="111"/>
      <c r="H307" s="142" t="s">
        <v>21</v>
      </c>
      <c r="I307" s="142"/>
      <c r="J307" s="142"/>
      <c r="K307" s="151"/>
      <c r="L307" s="142"/>
      <c r="M307" s="142"/>
    </row>
    <row r="308" spans="1:13" ht="55.15" customHeight="1">
      <c r="A308" s="13">
        <v>3</v>
      </c>
      <c r="B308" s="139" t="s">
        <v>355</v>
      </c>
      <c r="C308" s="139"/>
      <c r="D308" s="139"/>
      <c r="E308" s="140" t="s">
        <v>40</v>
      </c>
      <c r="F308" s="141"/>
      <c r="G308" s="111"/>
      <c r="H308" s="142" t="s">
        <v>21</v>
      </c>
      <c r="I308" s="142"/>
      <c r="J308" s="142"/>
      <c r="K308" s="151"/>
      <c r="L308" s="142"/>
      <c r="M308" s="142"/>
    </row>
    <row r="309" spans="1:13" ht="43.15" customHeight="1">
      <c r="A309" s="136" t="s">
        <v>356</v>
      </c>
      <c r="B309" s="137"/>
      <c r="C309" s="137"/>
      <c r="D309" s="137"/>
      <c r="E309" s="137"/>
      <c r="F309" s="137"/>
      <c r="G309" s="137"/>
      <c r="H309" s="137"/>
      <c r="I309" s="137"/>
      <c r="J309" s="137"/>
      <c r="K309" s="137"/>
      <c r="L309" s="137"/>
      <c r="M309" s="138"/>
    </row>
    <row r="310" spans="1:13" ht="34.9" customHeight="1">
      <c r="A310" s="13">
        <v>1</v>
      </c>
      <c r="B310" s="139" t="s">
        <v>357</v>
      </c>
      <c r="C310" s="139"/>
      <c r="D310" s="139"/>
      <c r="E310" s="140" t="s">
        <v>40</v>
      </c>
      <c r="F310" s="141"/>
      <c r="G310" s="111"/>
      <c r="H310" s="142" t="s">
        <v>21</v>
      </c>
      <c r="I310" s="142"/>
      <c r="J310" s="142"/>
      <c r="K310" s="151"/>
      <c r="L310" s="142"/>
      <c r="M310" s="142"/>
    </row>
    <row r="311" spans="1:13" ht="33.4" customHeight="1">
      <c r="A311" s="13">
        <v>2</v>
      </c>
      <c r="B311" s="139" t="s">
        <v>358</v>
      </c>
      <c r="C311" s="139"/>
      <c r="D311" s="139"/>
      <c r="E311" s="140" t="s">
        <v>40</v>
      </c>
      <c r="F311" s="141"/>
      <c r="G311" s="111"/>
      <c r="H311" s="142" t="s">
        <v>21</v>
      </c>
      <c r="I311" s="142"/>
      <c r="J311" s="142"/>
      <c r="K311" s="151"/>
      <c r="L311" s="142"/>
      <c r="M311" s="142"/>
    </row>
    <row r="312" spans="1:13" ht="36.4" customHeight="1">
      <c r="A312" s="13">
        <v>3</v>
      </c>
      <c r="B312" s="139" t="s">
        <v>359</v>
      </c>
      <c r="C312" s="139"/>
      <c r="D312" s="139"/>
      <c r="E312" s="140" t="s">
        <v>40</v>
      </c>
      <c r="F312" s="141"/>
      <c r="G312" s="111"/>
      <c r="H312" s="142" t="s">
        <v>21</v>
      </c>
      <c r="I312" s="142"/>
      <c r="J312" s="142"/>
      <c r="K312" s="151"/>
      <c r="L312" s="142"/>
      <c r="M312" s="142"/>
    </row>
    <row r="313" spans="1:13" ht="33.4" customHeight="1">
      <c r="A313" s="13">
        <v>4</v>
      </c>
      <c r="B313" s="139" t="s">
        <v>360</v>
      </c>
      <c r="C313" s="139"/>
      <c r="D313" s="139"/>
      <c r="E313" s="140" t="s">
        <v>40</v>
      </c>
      <c r="F313" s="141"/>
      <c r="G313" s="111"/>
      <c r="H313" s="142" t="s">
        <v>21</v>
      </c>
      <c r="I313" s="142"/>
      <c r="J313" s="142"/>
      <c r="K313" s="151"/>
      <c r="L313" s="142"/>
      <c r="M313" s="142"/>
    </row>
    <row r="314" spans="1:13" ht="31.5" customHeight="1">
      <c r="A314" s="13">
        <v>5</v>
      </c>
      <c r="B314" s="139" t="s">
        <v>361</v>
      </c>
      <c r="C314" s="139"/>
      <c r="D314" s="139"/>
      <c r="E314" s="140" t="s">
        <v>40</v>
      </c>
      <c r="F314" s="141"/>
      <c r="G314" s="111"/>
      <c r="H314" s="142" t="s">
        <v>21</v>
      </c>
      <c r="I314" s="142"/>
      <c r="J314" s="142"/>
      <c r="K314" s="151"/>
      <c r="L314" s="142"/>
      <c r="M314" s="142"/>
    </row>
    <row r="315" spans="1:13" ht="141.4" customHeight="1">
      <c r="A315" s="13">
        <v>6</v>
      </c>
      <c r="B315" s="139" t="s">
        <v>362</v>
      </c>
      <c r="C315" s="139"/>
      <c r="D315" s="139"/>
      <c r="E315" s="140" t="s">
        <v>40</v>
      </c>
      <c r="F315" s="141"/>
      <c r="G315" s="111"/>
      <c r="H315" s="142" t="s">
        <v>370</v>
      </c>
      <c r="I315" s="142"/>
      <c r="J315" s="142"/>
      <c r="K315" s="151"/>
      <c r="L315" s="142"/>
      <c r="M315" s="142"/>
    </row>
    <row r="316" spans="1:13" ht="33.4" customHeight="1">
      <c r="A316" s="13">
        <v>7</v>
      </c>
      <c r="B316" s="139" t="s">
        <v>363</v>
      </c>
      <c r="C316" s="139"/>
      <c r="D316" s="139"/>
      <c r="E316" s="140" t="s">
        <v>40</v>
      </c>
      <c r="F316" s="141"/>
      <c r="G316" s="111"/>
      <c r="H316" s="142" t="s">
        <v>21</v>
      </c>
      <c r="I316" s="142"/>
      <c r="J316" s="142"/>
      <c r="K316" s="151"/>
      <c r="L316" s="142"/>
      <c r="M316" s="142"/>
    </row>
    <row r="317" spans="1:13" ht="58.9" customHeight="1">
      <c r="A317" s="13">
        <v>8</v>
      </c>
      <c r="B317" s="139" t="s">
        <v>364</v>
      </c>
      <c r="C317" s="139"/>
      <c r="D317" s="139"/>
      <c r="E317" s="140" t="s">
        <v>40</v>
      </c>
      <c r="F317" s="141"/>
      <c r="G317" s="111"/>
      <c r="H317" s="142" t="s">
        <v>21</v>
      </c>
      <c r="I317" s="142"/>
      <c r="J317" s="142"/>
      <c r="K317" s="151"/>
      <c r="L317" s="142"/>
      <c r="M317" s="142"/>
    </row>
    <row r="318" spans="1:13" ht="63.4" customHeight="1">
      <c r="A318" s="13">
        <v>9</v>
      </c>
      <c r="B318" s="139" t="s">
        <v>365</v>
      </c>
      <c r="C318" s="139"/>
      <c r="D318" s="139"/>
      <c r="E318" s="140" t="s">
        <v>40</v>
      </c>
      <c r="F318" s="141"/>
      <c r="G318" s="111"/>
      <c r="H318" s="142" t="s">
        <v>383</v>
      </c>
      <c r="I318" s="142"/>
      <c r="J318" s="142"/>
      <c r="K318" s="151"/>
      <c r="L318" s="142"/>
      <c r="M318" s="142"/>
    </row>
  </sheetData>
  <mergeCells count="1060">
    <mergeCell ref="K315:M315"/>
    <mergeCell ref="K316:M316"/>
    <mergeCell ref="K317:M317"/>
    <mergeCell ref="K318:M318"/>
    <mergeCell ref="B318:D318"/>
    <mergeCell ref="E318:G318"/>
    <mergeCell ref="H318:J318"/>
    <mergeCell ref="K307:M307"/>
    <mergeCell ref="K308:M308"/>
    <mergeCell ref="K310:M310"/>
    <mergeCell ref="K311:M311"/>
    <mergeCell ref="K312:M312"/>
    <mergeCell ref="K313:M313"/>
    <mergeCell ref="K314:M314"/>
    <mergeCell ref="B316:D316"/>
    <mergeCell ref="E316:G316"/>
    <mergeCell ref="H316:J316"/>
    <mergeCell ref="B317:D317"/>
    <mergeCell ref="E317:G317"/>
    <mergeCell ref="H317:J317"/>
    <mergeCell ref="B314:D314"/>
    <mergeCell ref="E314:G314"/>
    <mergeCell ref="H314:J314"/>
    <mergeCell ref="B315:D315"/>
    <mergeCell ref="E315:G315"/>
    <mergeCell ref="H315:J315"/>
    <mergeCell ref="B312:D312"/>
    <mergeCell ref="E312:G312"/>
    <mergeCell ref="H312:J312"/>
    <mergeCell ref="B313:D313"/>
    <mergeCell ref="E313:G313"/>
    <mergeCell ref="H313:J313"/>
    <mergeCell ref="A309:M309"/>
    <mergeCell ref="B310:D310"/>
    <mergeCell ref="E310:G310"/>
    <mergeCell ref="H310:J310"/>
    <mergeCell ref="B311:D311"/>
    <mergeCell ref="E311:G311"/>
    <mergeCell ref="H311:J311"/>
    <mergeCell ref="B307:D307"/>
    <mergeCell ref="E307:G307"/>
    <mergeCell ref="H307:J307"/>
    <mergeCell ref="B308:D308"/>
    <mergeCell ref="E308:G308"/>
    <mergeCell ref="H308:J308"/>
    <mergeCell ref="A304:M304"/>
    <mergeCell ref="B305:D305"/>
    <mergeCell ref="E305:G305"/>
    <mergeCell ref="H305:J305"/>
    <mergeCell ref="K305:M305"/>
    <mergeCell ref="B306:D306"/>
    <mergeCell ref="E306:G306"/>
    <mergeCell ref="H306:J306"/>
    <mergeCell ref="K306:M306"/>
    <mergeCell ref="B302:D302"/>
    <mergeCell ref="E302:G302"/>
    <mergeCell ref="H302:J302"/>
    <mergeCell ref="K302:M302"/>
    <mergeCell ref="B303:D303"/>
    <mergeCell ref="E303:G303"/>
    <mergeCell ref="H303:J303"/>
    <mergeCell ref="K303:M303"/>
    <mergeCell ref="B300:D300"/>
    <mergeCell ref="E300:G300"/>
    <mergeCell ref="H300:J300"/>
    <mergeCell ref="K300:M300"/>
    <mergeCell ref="B301:D301"/>
    <mergeCell ref="E301:G301"/>
    <mergeCell ref="H301:J301"/>
    <mergeCell ref="K301:M301"/>
    <mergeCell ref="B298:D298"/>
    <mergeCell ref="E298:G298"/>
    <mergeCell ref="H298:J298"/>
    <mergeCell ref="K298:M298"/>
    <mergeCell ref="B299:D299"/>
    <mergeCell ref="E299:G299"/>
    <mergeCell ref="H299:J299"/>
    <mergeCell ref="K299:M299"/>
    <mergeCell ref="B295:D295"/>
    <mergeCell ref="E295:G295"/>
    <mergeCell ref="H295:J295"/>
    <mergeCell ref="K295:M295"/>
    <mergeCell ref="A296:M296"/>
    <mergeCell ref="B297:D297"/>
    <mergeCell ref="E297:G297"/>
    <mergeCell ref="H297:J297"/>
    <mergeCell ref="K297:M297"/>
    <mergeCell ref="B293:D293"/>
    <mergeCell ref="E293:G293"/>
    <mergeCell ref="H293:J293"/>
    <mergeCell ref="K293:M293"/>
    <mergeCell ref="B294:D294"/>
    <mergeCell ref="E294:G294"/>
    <mergeCell ref="H294:J294"/>
    <mergeCell ref="K294:M294"/>
    <mergeCell ref="B291:D291"/>
    <mergeCell ref="E291:G291"/>
    <mergeCell ref="H291:J291"/>
    <mergeCell ref="K291:M291"/>
    <mergeCell ref="B292:D292"/>
    <mergeCell ref="E292:G292"/>
    <mergeCell ref="H292:J292"/>
    <mergeCell ref="K292:M292"/>
    <mergeCell ref="B289:D289"/>
    <mergeCell ref="E289:G289"/>
    <mergeCell ref="H289:J289"/>
    <mergeCell ref="K289:M289"/>
    <mergeCell ref="B290:D290"/>
    <mergeCell ref="E290:G290"/>
    <mergeCell ref="H290:J290"/>
    <mergeCell ref="K290:M290"/>
    <mergeCell ref="B287:D287"/>
    <mergeCell ref="E287:G287"/>
    <mergeCell ref="H287:J287"/>
    <mergeCell ref="K287:M287"/>
    <mergeCell ref="B288:D288"/>
    <mergeCell ref="E288:G288"/>
    <mergeCell ref="H288:J288"/>
    <mergeCell ref="K288:M288"/>
    <mergeCell ref="B285:D285"/>
    <mergeCell ref="E285:G285"/>
    <mergeCell ref="H285:J285"/>
    <mergeCell ref="K285:M285"/>
    <mergeCell ref="B286:D286"/>
    <mergeCell ref="E286:G286"/>
    <mergeCell ref="H286:J286"/>
    <mergeCell ref="K286:M286"/>
    <mergeCell ref="B282:D282"/>
    <mergeCell ref="E282:G282"/>
    <mergeCell ref="H282:J282"/>
    <mergeCell ref="K282:M282"/>
    <mergeCell ref="B284:D284"/>
    <mergeCell ref="E284:G284"/>
    <mergeCell ref="H284:J284"/>
    <mergeCell ref="K284:M284"/>
    <mergeCell ref="B280:D280"/>
    <mergeCell ref="E280:G280"/>
    <mergeCell ref="H280:J280"/>
    <mergeCell ref="K280:M280"/>
    <mergeCell ref="B281:D281"/>
    <mergeCell ref="E281:G281"/>
    <mergeCell ref="H281:J281"/>
    <mergeCell ref="K281:M281"/>
    <mergeCell ref="B283:D283"/>
    <mergeCell ref="E283:G283"/>
    <mergeCell ref="H283:J283"/>
    <mergeCell ref="K283:M283"/>
    <mergeCell ref="B278:D278"/>
    <mergeCell ref="E278:G278"/>
    <mergeCell ref="H278:J278"/>
    <mergeCell ref="K278:M278"/>
    <mergeCell ref="B279:D279"/>
    <mergeCell ref="E279:G279"/>
    <mergeCell ref="H279:J279"/>
    <mergeCell ref="K279:M279"/>
    <mergeCell ref="B276:D276"/>
    <mergeCell ref="E276:G276"/>
    <mergeCell ref="H276:J276"/>
    <mergeCell ref="K276:M276"/>
    <mergeCell ref="B277:D277"/>
    <mergeCell ref="E277:G277"/>
    <mergeCell ref="H277:J277"/>
    <mergeCell ref="K277:M277"/>
    <mergeCell ref="B274:D274"/>
    <mergeCell ref="E274:G274"/>
    <mergeCell ref="H274:J274"/>
    <mergeCell ref="K274:M274"/>
    <mergeCell ref="B275:D275"/>
    <mergeCell ref="E275:G275"/>
    <mergeCell ref="H275:J275"/>
    <mergeCell ref="K275:M275"/>
    <mergeCell ref="B272:D272"/>
    <mergeCell ref="E272:G272"/>
    <mergeCell ref="H272:J272"/>
    <mergeCell ref="K272:M272"/>
    <mergeCell ref="B273:D273"/>
    <mergeCell ref="E273:G273"/>
    <mergeCell ref="H273:J273"/>
    <mergeCell ref="K273:M273"/>
    <mergeCell ref="B270:D270"/>
    <mergeCell ref="E270:G270"/>
    <mergeCell ref="H270:J270"/>
    <mergeCell ref="K270:M270"/>
    <mergeCell ref="B271:D271"/>
    <mergeCell ref="E271:G271"/>
    <mergeCell ref="H271:J271"/>
    <mergeCell ref="K271:M271"/>
    <mergeCell ref="B268:D268"/>
    <mergeCell ref="E268:G268"/>
    <mergeCell ref="H268:J268"/>
    <mergeCell ref="K268:M268"/>
    <mergeCell ref="B269:D269"/>
    <mergeCell ref="E269:G269"/>
    <mergeCell ref="H269:J269"/>
    <mergeCell ref="K269:M269"/>
    <mergeCell ref="B266:D266"/>
    <mergeCell ref="E266:G266"/>
    <mergeCell ref="H266:J266"/>
    <mergeCell ref="K266:M266"/>
    <mergeCell ref="B267:D267"/>
    <mergeCell ref="E267:G267"/>
    <mergeCell ref="H267:J267"/>
    <mergeCell ref="K267:M267"/>
    <mergeCell ref="B264:D264"/>
    <mergeCell ref="E264:G264"/>
    <mergeCell ref="H264:J264"/>
    <mergeCell ref="K264:M264"/>
    <mergeCell ref="B265:D265"/>
    <mergeCell ref="E265:G265"/>
    <mergeCell ref="H265:J265"/>
    <mergeCell ref="K265:M265"/>
    <mergeCell ref="B262:D262"/>
    <mergeCell ref="E262:G262"/>
    <mergeCell ref="H262:J262"/>
    <mergeCell ref="K262:M262"/>
    <mergeCell ref="B263:D263"/>
    <mergeCell ref="E263:G263"/>
    <mergeCell ref="H263:J263"/>
    <mergeCell ref="K263:M263"/>
    <mergeCell ref="B260:D260"/>
    <mergeCell ref="E260:G260"/>
    <mergeCell ref="H260:J260"/>
    <mergeCell ref="K260:M260"/>
    <mergeCell ref="B261:D261"/>
    <mergeCell ref="E261:G261"/>
    <mergeCell ref="H261:J261"/>
    <mergeCell ref="K261:M261"/>
    <mergeCell ref="B258:D258"/>
    <mergeCell ref="E258:G258"/>
    <mergeCell ref="H258:J258"/>
    <mergeCell ref="K258:M258"/>
    <mergeCell ref="B259:D259"/>
    <mergeCell ref="E259:G259"/>
    <mergeCell ref="H259:J259"/>
    <mergeCell ref="K259:M259"/>
    <mergeCell ref="B256:D256"/>
    <mergeCell ref="E256:G256"/>
    <mergeCell ref="H256:J256"/>
    <mergeCell ref="K256:M256"/>
    <mergeCell ref="B257:D257"/>
    <mergeCell ref="E257:G257"/>
    <mergeCell ref="H257:J257"/>
    <mergeCell ref="K257:M257"/>
    <mergeCell ref="B254:D254"/>
    <mergeCell ref="E254:G254"/>
    <mergeCell ref="H254:J254"/>
    <mergeCell ref="K254:M254"/>
    <mergeCell ref="B255:D255"/>
    <mergeCell ref="E255:G255"/>
    <mergeCell ref="H255:J255"/>
    <mergeCell ref="K255:M255"/>
    <mergeCell ref="B252:D252"/>
    <mergeCell ref="E252:G252"/>
    <mergeCell ref="H252:J252"/>
    <mergeCell ref="K252:M252"/>
    <mergeCell ref="B253:D253"/>
    <mergeCell ref="E253:G253"/>
    <mergeCell ref="H253:J253"/>
    <mergeCell ref="K253:M253"/>
    <mergeCell ref="B250:D250"/>
    <mergeCell ref="E250:G250"/>
    <mergeCell ref="H250:J250"/>
    <mergeCell ref="K250:M250"/>
    <mergeCell ref="B251:D251"/>
    <mergeCell ref="E251:G251"/>
    <mergeCell ref="H251:J251"/>
    <mergeCell ref="K251:M251"/>
    <mergeCell ref="B248:D248"/>
    <mergeCell ref="E248:G248"/>
    <mergeCell ref="H248:J248"/>
    <mergeCell ref="K248:M248"/>
    <mergeCell ref="B249:D249"/>
    <mergeCell ref="E249:G249"/>
    <mergeCell ref="H249:J249"/>
    <mergeCell ref="K249:M249"/>
    <mergeCell ref="B246:D246"/>
    <mergeCell ref="E246:G246"/>
    <mergeCell ref="H246:J246"/>
    <mergeCell ref="K246:M246"/>
    <mergeCell ref="B247:D247"/>
    <mergeCell ref="E247:G247"/>
    <mergeCell ref="H247:J247"/>
    <mergeCell ref="K247:M247"/>
    <mergeCell ref="B244:D244"/>
    <mergeCell ref="E244:G244"/>
    <mergeCell ref="H244:J244"/>
    <mergeCell ref="K244:M244"/>
    <mergeCell ref="B245:D245"/>
    <mergeCell ref="E245:G245"/>
    <mergeCell ref="H245:J245"/>
    <mergeCell ref="K245:M245"/>
    <mergeCell ref="B242:D242"/>
    <mergeCell ref="E242:G242"/>
    <mergeCell ref="H242:J242"/>
    <mergeCell ref="K242:M242"/>
    <mergeCell ref="B243:D243"/>
    <mergeCell ref="E243:G243"/>
    <mergeCell ref="H243:J243"/>
    <mergeCell ref="K243:M243"/>
    <mergeCell ref="B240:D240"/>
    <mergeCell ref="E240:G240"/>
    <mergeCell ref="H240:J240"/>
    <mergeCell ref="K240:M240"/>
    <mergeCell ref="B241:D241"/>
    <mergeCell ref="E241:G241"/>
    <mergeCell ref="H241:J241"/>
    <mergeCell ref="K241:M241"/>
    <mergeCell ref="B238:D238"/>
    <mergeCell ref="E238:G238"/>
    <mergeCell ref="H238:J238"/>
    <mergeCell ref="K238:M238"/>
    <mergeCell ref="B239:D239"/>
    <mergeCell ref="E239:G239"/>
    <mergeCell ref="H239:J239"/>
    <mergeCell ref="K239:M239"/>
    <mergeCell ref="B236:D236"/>
    <mergeCell ref="E236:G236"/>
    <mergeCell ref="H236:J236"/>
    <mergeCell ref="K236:M236"/>
    <mergeCell ref="B237:D237"/>
    <mergeCell ref="E237:G237"/>
    <mergeCell ref="H237:J237"/>
    <mergeCell ref="K237:M237"/>
    <mergeCell ref="B234:D234"/>
    <mergeCell ref="E234:G234"/>
    <mergeCell ref="H234:J234"/>
    <mergeCell ref="K234:M234"/>
    <mergeCell ref="B235:D235"/>
    <mergeCell ref="E235:G235"/>
    <mergeCell ref="H235:J235"/>
    <mergeCell ref="K235:M235"/>
    <mergeCell ref="B232:D232"/>
    <mergeCell ref="E232:G232"/>
    <mergeCell ref="H232:J232"/>
    <mergeCell ref="K232:M232"/>
    <mergeCell ref="B233:D233"/>
    <mergeCell ref="E233:G233"/>
    <mergeCell ref="H233:J233"/>
    <mergeCell ref="K233:M233"/>
    <mergeCell ref="B230:D230"/>
    <mergeCell ref="E230:G230"/>
    <mergeCell ref="H230:J230"/>
    <mergeCell ref="K230:M230"/>
    <mergeCell ref="B231:D231"/>
    <mergeCell ref="E231:G231"/>
    <mergeCell ref="H231:J231"/>
    <mergeCell ref="K231:M231"/>
    <mergeCell ref="B228:D228"/>
    <mergeCell ref="E228:G228"/>
    <mergeCell ref="H228:J228"/>
    <mergeCell ref="K228:M228"/>
    <mergeCell ref="B229:D229"/>
    <mergeCell ref="E229:G229"/>
    <mergeCell ref="H229:J229"/>
    <mergeCell ref="K229:M229"/>
    <mergeCell ref="B226:D226"/>
    <mergeCell ref="E226:G226"/>
    <mergeCell ref="H226:J226"/>
    <mergeCell ref="K226:M226"/>
    <mergeCell ref="B227:D227"/>
    <mergeCell ref="E227:G227"/>
    <mergeCell ref="H227:J227"/>
    <mergeCell ref="K227:M227"/>
    <mergeCell ref="B224:D224"/>
    <mergeCell ref="E224:G224"/>
    <mergeCell ref="H224:J224"/>
    <mergeCell ref="K224:M224"/>
    <mergeCell ref="B225:D225"/>
    <mergeCell ref="E225:G225"/>
    <mergeCell ref="H225:J225"/>
    <mergeCell ref="K225:M225"/>
    <mergeCell ref="B221:D221"/>
    <mergeCell ref="E221:G221"/>
    <mergeCell ref="H221:J221"/>
    <mergeCell ref="K221:M221"/>
    <mergeCell ref="B223:D223"/>
    <mergeCell ref="E223:G223"/>
    <mergeCell ref="H223:J223"/>
    <mergeCell ref="K223:M223"/>
    <mergeCell ref="B220:D220"/>
    <mergeCell ref="E220:G220"/>
    <mergeCell ref="H220:J220"/>
    <mergeCell ref="K220:M220"/>
    <mergeCell ref="B222:D222"/>
    <mergeCell ref="E222:G222"/>
    <mergeCell ref="H222:J222"/>
    <mergeCell ref="K222:M222"/>
    <mergeCell ref="B218:D218"/>
    <mergeCell ref="E218:G218"/>
    <mergeCell ref="H218:J218"/>
    <mergeCell ref="K218:M218"/>
    <mergeCell ref="B219:D219"/>
    <mergeCell ref="E219:G219"/>
    <mergeCell ref="H219:J219"/>
    <mergeCell ref="K219:M219"/>
    <mergeCell ref="B216:D216"/>
    <mergeCell ref="E216:G216"/>
    <mergeCell ref="H216:J216"/>
    <mergeCell ref="K216:M216"/>
    <mergeCell ref="B217:D217"/>
    <mergeCell ref="E217:G217"/>
    <mergeCell ref="H217:J217"/>
    <mergeCell ref="K217:M217"/>
    <mergeCell ref="B214:D214"/>
    <mergeCell ref="E214:G214"/>
    <mergeCell ref="H214:J214"/>
    <mergeCell ref="K214:M214"/>
    <mergeCell ref="B215:D215"/>
    <mergeCell ref="E215:G215"/>
    <mergeCell ref="H215:J215"/>
    <mergeCell ref="K215:M215"/>
    <mergeCell ref="B212:D212"/>
    <mergeCell ref="E212:G212"/>
    <mergeCell ref="H212:J212"/>
    <mergeCell ref="K212:M212"/>
    <mergeCell ref="B213:D213"/>
    <mergeCell ref="E213:G213"/>
    <mergeCell ref="H213:J213"/>
    <mergeCell ref="K213:M213"/>
    <mergeCell ref="B210:D210"/>
    <mergeCell ref="E210:G210"/>
    <mergeCell ref="H210:J210"/>
    <mergeCell ref="K210:M210"/>
    <mergeCell ref="B211:D211"/>
    <mergeCell ref="E211:G211"/>
    <mergeCell ref="H211:J211"/>
    <mergeCell ref="K211:M211"/>
    <mergeCell ref="B206:E206"/>
    <mergeCell ref="G206:I206"/>
    <mergeCell ref="J206:K206"/>
    <mergeCell ref="L206:M206"/>
    <mergeCell ref="A207:M207"/>
    <mergeCell ref="B208:D208"/>
    <mergeCell ref="E208:G208"/>
    <mergeCell ref="H208:J208"/>
    <mergeCell ref="K208:M208"/>
    <mergeCell ref="A209:M209"/>
    <mergeCell ref="B204:E204"/>
    <mergeCell ref="G204:I204"/>
    <mergeCell ref="J204:K204"/>
    <mergeCell ref="L204:M204"/>
    <mergeCell ref="B205:E205"/>
    <mergeCell ref="G205:I205"/>
    <mergeCell ref="J205:K205"/>
    <mergeCell ref="L205:M205"/>
    <mergeCell ref="B202:E202"/>
    <mergeCell ref="G202:I202"/>
    <mergeCell ref="J202:K202"/>
    <mergeCell ref="L202:M202"/>
    <mergeCell ref="B203:E203"/>
    <mergeCell ref="G203:I203"/>
    <mergeCell ref="J203:K203"/>
    <mergeCell ref="L203:M203"/>
    <mergeCell ref="B200:E200"/>
    <mergeCell ref="G200:I200"/>
    <mergeCell ref="J200:K200"/>
    <mergeCell ref="L200:M200"/>
    <mergeCell ref="B201:E201"/>
    <mergeCell ref="G201:I201"/>
    <mergeCell ref="J201:K201"/>
    <mergeCell ref="L201:M201"/>
    <mergeCell ref="B197:E197"/>
    <mergeCell ref="G197:I197"/>
    <mergeCell ref="J197:K197"/>
    <mergeCell ref="L197:M197"/>
    <mergeCell ref="A198:M198"/>
    <mergeCell ref="B199:E199"/>
    <mergeCell ref="G199:I199"/>
    <mergeCell ref="J199:K199"/>
    <mergeCell ref="L199:M199"/>
    <mergeCell ref="B195:E195"/>
    <mergeCell ref="G195:I195"/>
    <mergeCell ref="J195:K195"/>
    <mergeCell ref="L195:M195"/>
    <mergeCell ref="B196:E196"/>
    <mergeCell ref="G196:I196"/>
    <mergeCell ref="J196:K196"/>
    <mergeCell ref="L196:M196"/>
    <mergeCell ref="B193:E193"/>
    <mergeCell ref="G193:I193"/>
    <mergeCell ref="J193:K193"/>
    <mergeCell ref="L193:M193"/>
    <mergeCell ref="B194:E194"/>
    <mergeCell ref="G194:I194"/>
    <mergeCell ref="J194:K194"/>
    <mergeCell ref="L194:M194"/>
    <mergeCell ref="B191:E191"/>
    <mergeCell ref="G191:I191"/>
    <mergeCell ref="J191:K191"/>
    <mergeCell ref="L191:M191"/>
    <mergeCell ref="B192:E192"/>
    <mergeCell ref="G192:I192"/>
    <mergeCell ref="J192:K192"/>
    <mergeCell ref="L192:M192"/>
    <mergeCell ref="B188:E188"/>
    <mergeCell ref="G188:I188"/>
    <mergeCell ref="J188:K188"/>
    <mergeCell ref="L188:M188"/>
    <mergeCell ref="B189:E189"/>
    <mergeCell ref="G189:I189"/>
    <mergeCell ref="J189:K189"/>
    <mergeCell ref="L189:M189"/>
    <mergeCell ref="A190:M190"/>
    <mergeCell ref="B186:E186"/>
    <mergeCell ref="G186:I186"/>
    <mergeCell ref="J186:K186"/>
    <mergeCell ref="L186:M186"/>
    <mergeCell ref="B187:E187"/>
    <mergeCell ref="G187:I187"/>
    <mergeCell ref="J187:K187"/>
    <mergeCell ref="L187:M187"/>
    <mergeCell ref="B184:E184"/>
    <mergeCell ref="G184:I184"/>
    <mergeCell ref="J184:K184"/>
    <mergeCell ref="L184:M184"/>
    <mergeCell ref="B185:E185"/>
    <mergeCell ref="G185:I185"/>
    <mergeCell ref="J185:K185"/>
    <mergeCell ref="L185:M185"/>
    <mergeCell ref="B181:E181"/>
    <mergeCell ref="G181:I181"/>
    <mergeCell ref="J181:K181"/>
    <mergeCell ref="L181:M181"/>
    <mergeCell ref="B182:E182"/>
    <mergeCell ref="G182:I182"/>
    <mergeCell ref="J182:K182"/>
    <mergeCell ref="L182:M182"/>
    <mergeCell ref="A183:M183"/>
    <mergeCell ref="B180:E180"/>
    <mergeCell ref="G180:I180"/>
    <mergeCell ref="J180:K180"/>
    <mergeCell ref="L180:M180"/>
    <mergeCell ref="B177:E177"/>
    <mergeCell ref="G177:I177"/>
    <mergeCell ref="J177:K177"/>
    <mergeCell ref="L177:M177"/>
    <mergeCell ref="B178:E178"/>
    <mergeCell ref="G178:I178"/>
    <mergeCell ref="J178:K178"/>
    <mergeCell ref="L178:M178"/>
    <mergeCell ref="B175:E175"/>
    <mergeCell ref="G175:I175"/>
    <mergeCell ref="J175:K175"/>
    <mergeCell ref="L175:M175"/>
    <mergeCell ref="B176:E176"/>
    <mergeCell ref="G176:I176"/>
    <mergeCell ref="J176:K176"/>
    <mergeCell ref="L176:M176"/>
    <mergeCell ref="B171:J171"/>
    <mergeCell ref="K171:M171"/>
    <mergeCell ref="A172:M172"/>
    <mergeCell ref="B173:E173"/>
    <mergeCell ref="G173:I173"/>
    <mergeCell ref="J173:K173"/>
    <mergeCell ref="L173:M173"/>
    <mergeCell ref="A169:M169"/>
    <mergeCell ref="B170:J170"/>
    <mergeCell ref="K170:M170"/>
    <mergeCell ref="B167:G167"/>
    <mergeCell ref="H167:J167"/>
    <mergeCell ref="K167:M167"/>
    <mergeCell ref="B168:G168"/>
    <mergeCell ref="H168:J168"/>
    <mergeCell ref="K168:M168"/>
    <mergeCell ref="B179:E179"/>
    <mergeCell ref="G179:I179"/>
    <mergeCell ref="J179:K179"/>
    <mergeCell ref="L179:M179"/>
    <mergeCell ref="A174:M174"/>
    <mergeCell ref="A164:M164"/>
    <mergeCell ref="B165:G165"/>
    <mergeCell ref="H165:J165"/>
    <mergeCell ref="K165:M165"/>
    <mergeCell ref="B166:G166"/>
    <mergeCell ref="H166:J166"/>
    <mergeCell ref="K166:M166"/>
    <mergeCell ref="B160:J160"/>
    <mergeCell ref="K160:M160"/>
    <mergeCell ref="A161:M161"/>
    <mergeCell ref="B162:J162"/>
    <mergeCell ref="K162:M162"/>
    <mergeCell ref="B163:J163"/>
    <mergeCell ref="K163:M163"/>
    <mergeCell ref="B157:G157"/>
    <mergeCell ref="H157:J157"/>
    <mergeCell ref="K157:M157"/>
    <mergeCell ref="A158:M158"/>
    <mergeCell ref="B159:J159"/>
    <mergeCell ref="K159:M159"/>
    <mergeCell ref="A153:M153"/>
    <mergeCell ref="B154:G154"/>
    <mergeCell ref="H154:J154"/>
    <mergeCell ref="K154:M154"/>
    <mergeCell ref="A155:M155"/>
    <mergeCell ref="B156:G156"/>
    <mergeCell ref="H156:J156"/>
    <mergeCell ref="K156:M156"/>
    <mergeCell ref="B150:J150"/>
    <mergeCell ref="K150:M150"/>
    <mergeCell ref="B151:J151"/>
    <mergeCell ref="K151:M151"/>
    <mergeCell ref="B152:J152"/>
    <mergeCell ref="K152:M152"/>
    <mergeCell ref="A146:M146"/>
    <mergeCell ref="B147:J147"/>
    <mergeCell ref="K147:M147"/>
    <mergeCell ref="B148:J148"/>
    <mergeCell ref="K148:M148"/>
    <mergeCell ref="B149:J149"/>
    <mergeCell ref="K149:M149"/>
    <mergeCell ref="B144:G144"/>
    <mergeCell ref="H144:J144"/>
    <mergeCell ref="K144:M144"/>
    <mergeCell ref="B145:G145"/>
    <mergeCell ref="H145:J145"/>
    <mergeCell ref="K145:M145"/>
    <mergeCell ref="A141:M141"/>
    <mergeCell ref="B142:G142"/>
    <mergeCell ref="H142:J142"/>
    <mergeCell ref="K142:M142"/>
    <mergeCell ref="B143:G143"/>
    <mergeCell ref="H143:J143"/>
    <mergeCell ref="K143:M143"/>
    <mergeCell ref="B136:G136"/>
    <mergeCell ref="H136:J136"/>
    <mergeCell ref="K136:M136"/>
    <mergeCell ref="B140:G140"/>
    <mergeCell ref="H140:J140"/>
    <mergeCell ref="K140:M140"/>
    <mergeCell ref="B137:G137"/>
    <mergeCell ref="H137:J137"/>
    <mergeCell ref="K137:M137"/>
    <mergeCell ref="B138:G138"/>
    <mergeCell ref="H138:J138"/>
    <mergeCell ref="K138:M138"/>
    <mergeCell ref="B139:G139"/>
    <mergeCell ref="H139:J139"/>
    <mergeCell ref="K139:M139"/>
    <mergeCell ref="B134:G134"/>
    <mergeCell ref="H134:J134"/>
    <mergeCell ref="K134:M134"/>
    <mergeCell ref="B135:G135"/>
    <mergeCell ref="H135:J135"/>
    <mergeCell ref="K135:M135"/>
    <mergeCell ref="B132:G132"/>
    <mergeCell ref="H132:J132"/>
    <mergeCell ref="K132:M132"/>
    <mergeCell ref="B133:G133"/>
    <mergeCell ref="H133:J133"/>
    <mergeCell ref="K133:M133"/>
    <mergeCell ref="A129:M129"/>
    <mergeCell ref="B130:G130"/>
    <mergeCell ref="H130:J130"/>
    <mergeCell ref="K130:M130"/>
    <mergeCell ref="B131:G131"/>
    <mergeCell ref="H131:J131"/>
    <mergeCell ref="K131:M131"/>
    <mergeCell ref="A126:M126"/>
    <mergeCell ref="B127:G127"/>
    <mergeCell ref="H127:J127"/>
    <mergeCell ref="K127:M127"/>
    <mergeCell ref="B128:G128"/>
    <mergeCell ref="H128:J128"/>
    <mergeCell ref="K128:M128"/>
    <mergeCell ref="B124:G124"/>
    <mergeCell ref="H124:J124"/>
    <mergeCell ref="K124:M124"/>
    <mergeCell ref="B125:G125"/>
    <mergeCell ref="H125:J125"/>
    <mergeCell ref="K125:M125"/>
    <mergeCell ref="B122:G122"/>
    <mergeCell ref="H122:J122"/>
    <mergeCell ref="K122:M122"/>
    <mergeCell ref="B123:G123"/>
    <mergeCell ref="H123:J123"/>
    <mergeCell ref="K123:M123"/>
    <mergeCell ref="B120:G120"/>
    <mergeCell ref="H120:J120"/>
    <mergeCell ref="K120:M120"/>
    <mergeCell ref="B121:G121"/>
    <mergeCell ref="H121:J121"/>
    <mergeCell ref="K121:M121"/>
    <mergeCell ref="B118:G118"/>
    <mergeCell ref="H118:J118"/>
    <mergeCell ref="K118:M118"/>
    <mergeCell ref="B119:G119"/>
    <mergeCell ref="H119:J119"/>
    <mergeCell ref="K119:M119"/>
    <mergeCell ref="A115:M115"/>
    <mergeCell ref="B116:G116"/>
    <mergeCell ref="H116:J116"/>
    <mergeCell ref="K116:M116"/>
    <mergeCell ref="B117:G117"/>
    <mergeCell ref="H117:J117"/>
    <mergeCell ref="K117:M117"/>
    <mergeCell ref="B113:D113"/>
    <mergeCell ref="E113:G113"/>
    <mergeCell ref="H113:J113"/>
    <mergeCell ref="K113:M113"/>
    <mergeCell ref="B114:D114"/>
    <mergeCell ref="E114:G114"/>
    <mergeCell ref="H114:J114"/>
    <mergeCell ref="K114:M114"/>
    <mergeCell ref="B110:M110"/>
    <mergeCell ref="B111:D111"/>
    <mergeCell ref="E111:G111"/>
    <mergeCell ref="H111:J111"/>
    <mergeCell ref="K111:M111"/>
    <mergeCell ref="B112:D112"/>
    <mergeCell ref="E112:G112"/>
    <mergeCell ref="H112:J112"/>
    <mergeCell ref="K112:M112"/>
    <mergeCell ref="B106:D106"/>
    <mergeCell ref="E106:G106"/>
    <mergeCell ref="H106:J106"/>
    <mergeCell ref="K106:M106"/>
    <mergeCell ref="A108:M108"/>
    <mergeCell ref="B109:D109"/>
    <mergeCell ref="E109:G109"/>
    <mergeCell ref="H109:J109"/>
    <mergeCell ref="K109:M109"/>
    <mergeCell ref="A103:A104"/>
    <mergeCell ref="B103:D104"/>
    <mergeCell ref="E103:G104"/>
    <mergeCell ref="H103:J104"/>
    <mergeCell ref="K103:M104"/>
    <mergeCell ref="B105:D105"/>
    <mergeCell ref="E105:G105"/>
    <mergeCell ref="H105:J105"/>
    <mergeCell ref="K105:M105"/>
    <mergeCell ref="B101:D101"/>
    <mergeCell ref="E101:G101"/>
    <mergeCell ref="H101:J101"/>
    <mergeCell ref="K101:M101"/>
    <mergeCell ref="B102:D102"/>
    <mergeCell ref="E102:G102"/>
    <mergeCell ref="H102:J102"/>
    <mergeCell ref="K102:M102"/>
    <mergeCell ref="A98:M98"/>
    <mergeCell ref="B99:D99"/>
    <mergeCell ref="E99:G99"/>
    <mergeCell ref="H99:J99"/>
    <mergeCell ref="K99:M99"/>
    <mergeCell ref="B100:M100"/>
    <mergeCell ref="B96:C96"/>
    <mergeCell ref="D96:E96"/>
    <mergeCell ref="G96:I96"/>
    <mergeCell ref="J96:K96"/>
    <mergeCell ref="L96:M96"/>
    <mergeCell ref="B97:C97"/>
    <mergeCell ref="D97:E97"/>
    <mergeCell ref="G97:I97"/>
    <mergeCell ref="J97:K97"/>
    <mergeCell ref="L97:M97"/>
    <mergeCell ref="B94:C94"/>
    <mergeCell ref="D94:E94"/>
    <mergeCell ref="G94:I94"/>
    <mergeCell ref="J94:K94"/>
    <mergeCell ref="L94:M94"/>
    <mergeCell ref="B95:C95"/>
    <mergeCell ref="D95:E95"/>
    <mergeCell ref="G95:I95"/>
    <mergeCell ref="J95:K95"/>
    <mergeCell ref="L95:M95"/>
    <mergeCell ref="B92:C92"/>
    <mergeCell ref="D92:E92"/>
    <mergeCell ref="G92:I92"/>
    <mergeCell ref="J92:K92"/>
    <mergeCell ref="L92:M92"/>
    <mergeCell ref="B93:C93"/>
    <mergeCell ref="D93:E93"/>
    <mergeCell ref="G93:I93"/>
    <mergeCell ref="J93:K93"/>
    <mergeCell ref="L93:M93"/>
    <mergeCell ref="B90:C90"/>
    <mergeCell ref="B91:C91"/>
    <mergeCell ref="D91:E91"/>
    <mergeCell ref="G91:I91"/>
    <mergeCell ref="J91:K91"/>
    <mergeCell ref="L91:M91"/>
    <mergeCell ref="J87:K88"/>
    <mergeCell ref="L87:M88"/>
    <mergeCell ref="B88:C88"/>
    <mergeCell ref="A89:A90"/>
    <mergeCell ref="B89:C89"/>
    <mergeCell ref="D89:E90"/>
    <mergeCell ref="F89:F90"/>
    <mergeCell ref="G89:I90"/>
    <mergeCell ref="J89:K90"/>
    <mergeCell ref="L89:M90"/>
    <mergeCell ref="B86:C86"/>
    <mergeCell ref="A87:A88"/>
    <mergeCell ref="B87:C87"/>
    <mergeCell ref="D87:E88"/>
    <mergeCell ref="F87:F88"/>
    <mergeCell ref="G87:I88"/>
    <mergeCell ref="J83:K84"/>
    <mergeCell ref="L83:M84"/>
    <mergeCell ref="B84:C84"/>
    <mergeCell ref="A85:A86"/>
    <mergeCell ref="B85:C85"/>
    <mergeCell ref="D85:E86"/>
    <mergeCell ref="F85:F86"/>
    <mergeCell ref="G85:I86"/>
    <mergeCell ref="J85:K86"/>
    <mergeCell ref="L85:M86"/>
    <mergeCell ref="B82:C82"/>
    <mergeCell ref="A83:A84"/>
    <mergeCell ref="B83:C83"/>
    <mergeCell ref="D83:E84"/>
    <mergeCell ref="F83:F84"/>
    <mergeCell ref="G83:I84"/>
    <mergeCell ref="J79:K80"/>
    <mergeCell ref="L79:M80"/>
    <mergeCell ref="B80:C80"/>
    <mergeCell ref="A81:A82"/>
    <mergeCell ref="B81:C81"/>
    <mergeCell ref="D81:E82"/>
    <mergeCell ref="F81:F82"/>
    <mergeCell ref="G81:I82"/>
    <mergeCell ref="J81:K82"/>
    <mergeCell ref="L81:M82"/>
    <mergeCell ref="B78:C78"/>
    <mergeCell ref="A79:A80"/>
    <mergeCell ref="B79:C79"/>
    <mergeCell ref="D79:E80"/>
    <mergeCell ref="F79:F80"/>
    <mergeCell ref="G79:I80"/>
    <mergeCell ref="J75:K76"/>
    <mergeCell ref="L75:M76"/>
    <mergeCell ref="B76:C76"/>
    <mergeCell ref="A77:A78"/>
    <mergeCell ref="B77:C77"/>
    <mergeCell ref="D77:E78"/>
    <mergeCell ref="F77:F78"/>
    <mergeCell ref="G77:I78"/>
    <mergeCell ref="J77:K78"/>
    <mergeCell ref="L77:M78"/>
    <mergeCell ref="B74:C74"/>
    <mergeCell ref="A75:A76"/>
    <mergeCell ref="B75:C75"/>
    <mergeCell ref="D75:E76"/>
    <mergeCell ref="F75:F76"/>
    <mergeCell ref="G75:I76"/>
    <mergeCell ref="J71:K72"/>
    <mergeCell ref="L71:M72"/>
    <mergeCell ref="B72:C72"/>
    <mergeCell ref="A73:A74"/>
    <mergeCell ref="B73:C73"/>
    <mergeCell ref="D73:E74"/>
    <mergeCell ref="F73:F74"/>
    <mergeCell ref="G73:I74"/>
    <mergeCell ref="J73:K74"/>
    <mergeCell ref="L73:M74"/>
    <mergeCell ref="B70:C70"/>
    <mergeCell ref="A71:A72"/>
    <mergeCell ref="B71:C71"/>
    <mergeCell ref="D71:E72"/>
    <mergeCell ref="F71:F72"/>
    <mergeCell ref="G71:I72"/>
    <mergeCell ref="J67:K68"/>
    <mergeCell ref="L67:M68"/>
    <mergeCell ref="B68:C68"/>
    <mergeCell ref="A69:A70"/>
    <mergeCell ref="B69:C69"/>
    <mergeCell ref="D69:E70"/>
    <mergeCell ref="F69:F70"/>
    <mergeCell ref="G69:I70"/>
    <mergeCell ref="J69:K70"/>
    <mergeCell ref="L69:M70"/>
    <mergeCell ref="B66:C66"/>
    <mergeCell ref="A67:A68"/>
    <mergeCell ref="B67:C67"/>
    <mergeCell ref="D67:E68"/>
    <mergeCell ref="F67:F68"/>
    <mergeCell ref="G67:I68"/>
    <mergeCell ref="J63:K64"/>
    <mergeCell ref="L63:M64"/>
    <mergeCell ref="B64:C64"/>
    <mergeCell ref="A65:A66"/>
    <mergeCell ref="B65:C65"/>
    <mergeCell ref="D65:E66"/>
    <mergeCell ref="F65:F66"/>
    <mergeCell ref="G65:I66"/>
    <mergeCell ref="J65:K66"/>
    <mergeCell ref="L65:M66"/>
    <mergeCell ref="B62:C62"/>
    <mergeCell ref="A63:A64"/>
    <mergeCell ref="B63:C63"/>
    <mergeCell ref="D63:E64"/>
    <mergeCell ref="F63:F64"/>
    <mergeCell ref="G63:I64"/>
    <mergeCell ref="J59:K60"/>
    <mergeCell ref="L59:M60"/>
    <mergeCell ref="B60:C60"/>
    <mergeCell ref="A61:A62"/>
    <mergeCell ref="B61:C61"/>
    <mergeCell ref="D61:E62"/>
    <mergeCell ref="F61:F62"/>
    <mergeCell ref="G61:I62"/>
    <mergeCell ref="J61:K62"/>
    <mergeCell ref="L61:M62"/>
    <mergeCell ref="B58:C58"/>
    <mergeCell ref="A59:A60"/>
    <mergeCell ref="B59:C59"/>
    <mergeCell ref="D59:E60"/>
    <mergeCell ref="F59:F60"/>
    <mergeCell ref="G59:I60"/>
    <mergeCell ref="J55:K56"/>
    <mergeCell ref="L55:M56"/>
    <mergeCell ref="B56:C56"/>
    <mergeCell ref="A57:A58"/>
    <mergeCell ref="B57:C57"/>
    <mergeCell ref="D57:E58"/>
    <mergeCell ref="F57:F58"/>
    <mergeCell ref="G57:I58"/>
    <mergeCell ref="J57:K58"/>
    <mergeCell ref="L57:M58"/>
    <mergeCell ref="B54:C54"/>
    <mergeCell ref="A55:A56"/>
    <mergeCell ref="B55:C55"/>
    <mergeCell ref="D55:E56"/>
    <mergeCell ref="F55:F56"/>
    <mergeCell ref="G55:I56"/>
    <mergeCell ref="J51:K52"/>
    <mergeCell ref="L51:M52"/>
    <mergeCell ref="B52:C52"/>
    <mergeCell ref="A53:A54"/>
    <mergeCell ref="B53:C53"/>
    <mergeCell ref="D53:E54"/>
    <mergeCell ref="F53:F54"/>
    <mergeCell ref="G53:I54"/>
    <mergeCell ref="J53:K54"/>
    <mergeCell ref="L53:M54"/>
    <mergeCell ref="B50:C50"/>
    <mergeCell ref="A51:A52"/>
    <mergeCell ref="B51:C51"/>
    <mergeCell ref="D51:E52"/>
    <mergeCell ref="F51:F52"/>
    <mergeCell ref="G51:I52"/>
    <mergeCell ref="G48:I48"/>
    <mergeCell ref="J48:K48"/>
    <mergeCell ref="L48:M48"/>
    <mergeCell ref="A49:A50"/>
    <mergeCell ref="B49:C49"/>
    <mergeCell ref="D49:E50"/>
    <mergeCell ref="F49:F50"/>
    <mergeCell ref="G49:I50"/>
    <mergeCell ref="J49:K50"/>
    <mergeCell ref="L49:M50"/>
    <mergeCell ref="L45:M46"/>
    <mergeCell ref="B46:C46"/>
    <mergeCell ref="J46:K46"/>
    <mergeCell ref="A47:A48"/>
    <mergeCell ref="B47:C47"/>
    <mergeCell ref="D47:E48"/>
    <mergeCell ref="G47:I47"/>
    <mergeCell ref="J47:K47"/>
    <mergeCell ref="L47:M47"/>
    <mergeCell ref="B48:C48"/>
    <mergeCell ref="A45:A46"/>
    <mergeCell ref="B45:C45"/>
    <mergeCell ref="D45:E46"/>
    <mergeCell ref="F45:F46"/>
    <mergeCell ref="G45:I46"/>
    <mergeCell ref="J45:K45"/>
    <mergeCell ref="A43:M43"/>
    <mergeCell ref="B44:C44"/>
    <mergeCell ref="D44:E44"/>
    <mergeCell ref="G44:I44"/>
    <mergeCell ref="J44:K44"/>
    <mergeCell ref="L44:M44"/>
    <mergeCell ref="A39:M39"/>
    <mergeCell ref="B40:D40"/>
    <mergeCell ref="E40:G40"/>
    <mergeCell ref="H40:M40"/>
    <mergeCell ref="B41:D41"/>
    <mergeCell ref="E41:G42"/>
    <mergeCell ref="H41:M41"/>
    <mergeCell ref="B42:D42"/>
    <mergeCell ref="H42:M42"/>
    <mergeCell ref="B36:D36"/>
    <mergeCell ref="E36:G36"/>
    <mergeCell ref="H36:M36"/>
    <mergeCell ref="B37:D37"/>
    <mergeCell ref="E37:G38"/>
    <mergeCell ref="H37:M37"/>
    <mergeCell ref="B38:D38"/>
    <mergeCell ref="H38:M38"/>
    <mergeCell ref="A34:M34"/>
    <mergeCell ref="A35:M35"/>
    <mergeCell ref="A28:M28"/>
    <mergeCell ref="A29:D29"/>
    <mergeCell ref="E29:H29"/>
    <mergeCell ref="I29:M29"/>
    <mergeCell ref="A30:M30"/>
    <mergeCell ref="A31:D31"/>
    <mergeCell ref="E31:H31"/>
    <mergeCell ref="I31:M31"/>
    <mergeCell ref="B24:D24"/>
    <mergeCell ref="E24:I24"/>
    <mergeCell ref="J24:M24"/>
    <mergeCell ref="A25:M25"/>
    <mergeCell ref="A26:M26"/>
    <mergeCell ref="A27:D27"/>
    <mergeCell ref="E27:H27"/>
    <mergeCell ref="I27:M27"/>
    <mergeCell ref="B23:D23"/>
    <mergeCell ref="E23:I23"/>
    <mergeCell ref="J23:M23"/>
    <mergeCell ref="B19:D19"/>
    <mergeCell ref="E19:F19"/>
    <mergeCell ref="G19:H19"/>
    <mergeCell ref="I19:K19"/>
    <mergeCell ref="L19:M19"/>
    <mergeCell ref="B20:D20"/>
    <mergeCell ref="E20:F20"/>
    <mergeCell ref="G20:H20"/>
    <mergeCell ref="I20:K20"/>
    <mergeCell ref="L20:M20"/>
    <mergeCell ref="A32:M32"/>
    <mergeCell ref="A33:D33"/>
    <mergeCell ref="E33:H33"/>
    <mergeCell ref="I33:M33"/>
    <mergeCell ref="B16:D16"/>
    <mergeCell ref="E16:M16"/>
    <mergeCell ref="A17:M17"/>
    <mergeCell ref="B18:D18"/>
    <mergeCell ref="E18:F18"/>
    <mergeCell ref="G18:H18"/>
    <mergeCell ref="I18:K18"/>
    <mergeCell ref="L18:M18"/>
    <mergeCell ref="B12:D12"/>
    <mergeCell ref="E12:G12"/>
    <mergeCell ref="H12:J12"/>
    <mergeCell ref="K12:M12"/>
    <mergeCell ref="A13:M13"/>
    <mergeCell ref="B14:D14"/>
    <mergeCell ref="E14:M14"/>
    <mergeCell ref="A21:M21"/>
    <mergeCell ref="B22:D22"/>
    <mergeCell ref="E22:I22"/>
    <mergeCell ref="J22:M22"/>
    <mergeCell ref="A9:M9"/>
    <mergeCell ref="B10:D10"/>
    <mergeCell ref="E10:G10"/>
    <mergeCell ref="H10:J10"/>
    <mergeCell ref="K10:M10"/>
    <mergeCell ref="B11:D11"/>
    <mergeCell ref="E11:G11"/>
    <mergeCell ref="H11:J11"/>
    <mergeCell ref="K11:M11"/>
    <mergeCell ref="G2:M2"/>
    <mergeCell ref="G3:M3"/>
    <mergeCell ref="G4:M4"/>
    <mergeCell ref="G5:M5"/>
    <mergeCell ref="A7:M7"/>
    <mergeCell ref="A8:M8"/>
    <mergeCell ref="B15:D15"/>
    <mergeCell ref="E15:M15"/>
  </mergeCells>
  <pageMargins left="0.78740157480314965" right="0.39370078740157483" top="0.39370078740157483" bottom="0.39370078740157483" header="0.31496062992125984" footer="0.31496062992125984"/>
  <pageSetup paperSize="9" scale="78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2025-07-22T14:05:20Z</dcterms:modified>
</cp:coreProperties>
</file>